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5730" activeTab="0"/>
  </bookViews>
  <sheets>
    <sheet name="Disclaimer" sheetId="1" r:id="rId1"/>
    <sheet name="New Cortec" sheetId="2" r:id="rId2"/>
    <sheet name="Nomenclature" sheetId="3" r:id="rId3"/>
    <sheet name="Model Detail" sheetId="4" state="hidden" r:id="rId4"/>
    <sheet name="Lookup" sheetId="5" state="hidden" r:id="rId5"/>
    <sheet name="Old-New Model Nos" sheetId="6" state="hidden" r:id="rId6"/>
  </sheets>
  <definedNames>
    <definedName name="Input_Area" localSheetId="2">'Nomenclature'!#REF!,'Nomenclature'!#REF!,'Nomenclature'!#REF!,'Nomenclature'!#REF!,'Nomenclature'!$B$16:$B$18,'Nomenclature'!#REF!,'Nomenclature'!$G$22:$G$23,'Nomenclature'!$G$27:$G$27,'Nomenclature'!$G$28:$G$29,'Nomenclature'!$I$30:$I$30</definedName>
    <definedName name="Input_Area">#REF!,#REF!,#REF!,#REF!,#REF!,#REF!,#REF!,#REF!,#REF!,#REF!</definedName>
    <definedName name="Input_Area1">#REF!,#REF!,#REF!,#REF!,#REF!,#REF!,#REF!,#REF!</definedName>
    <definedName name="Input_Area2">#REF!,#REF!,#REF!,#REF!</definedName>
    <definedName name="Nomenclature" localSheetId="0">#REF!:#REF!</definedName>
    <definedName name="Nomenclature" localSheetId="2">'Nomenclature'!#REF!:'Nomenclature'!$N$33</definedName>
    <definedName name="Nomenclature">#REF!:#REF!</definedName>
    <definedName name="_xlnm.Print_Area" localSheetId="3">'Model Detail'!$A$1:$H$72</definedName>
    <definedName name="_xlnm.Print_Area" localSheetId="1">'New Cortec'!$A$1:$X$96</definedName>
    <definedName name="_xlnm.Print_Area" localSheetId="2">'Nomenclature'!$A$1:$Q$54</definedName>
    <definedName name="_xlnm.Print_Area" localSheetId="5">'Old-New Model Nos'!$A$1:$C$20</definedName>
    <definedName name="_xlnm.Print_Titles" localSheetId="4">'Lookup'!$281:$281</definedName>
    <definedName name="_xlnm.Print_Titles" localSheetId="3">'Model Detail'!$4:$4</definedName>
  </definedNames>
  <calcPr fullCalcOnLoad="1"/>
</workbook>
</file>

<file path=xl/sharedStrings.xml><?xml version="1.0" encoding="utf-8"?>
<sst xmlns="http://schemas.openxmlformats.org/spreadsheetml/2006/main" count="3134" uniqueCount="1194">
  <si>
    <t>Issue : 066 - As at 12/06/00 - 5A "Special" CT variant of KCGG14105 added to options.</t>
  </si>
  <si>
    <t>: 10KCGG14101</t>
  </si>
  <si>
    <t>KCGG34101H90E**</t>
  </si>
  <si>
    <t>5 Amp - 4 Phase C.T's.</t>
  </si>
  <si>
    <t>KCGG34101H90F**</t>
  </si>
  <si>
    <t>1 Amp &amp; 5 Amp - Software Selectable - 110V</t>
  </si>
  <si>
    <t>ZC0411021</t>
  </si>
  <si>
    <t>1 Amp - 1 Phase C.T. + 1 E/F C.T.</t>
  </si>
  <si>
    <t>ZC0411001</t>
  </si>
  <si>
    <t>1 Amp - 2 Phase C.T's.</t>
  </si>
  <si>
    <t>ZC0411019</t>
  </si>
  <si>
    <t>5 Amp - 1 Phase C.T. + 1 E/F C.T.</t>
  </si>
  <si>
    <t>ZC0411002</t>
  </si>
  <si>
    <t>5 Amp - 2 Phase C.T's.</t>
  </si>
  <si>
    <t>ZC0411020</t>
  </si>
  <si>
    <t>KCGG24101H90C**</t>
  </si>
  <si>
    <t>KCGG24101H90D**</t>
  </si>
  <si>
    <t>KCGG24101H90E**</t>
  </si>
  <si>
    <t>KCGG24101H90F**</t>
  </si>
  <si>
    <t>Tray 2 - Coils &amp; Laminations</t>
  </si>
  <si>
    <r>
      <t xml:space="preserve">(1A -Std) </t>
    </r>
    <r>
      <rPr>
        <sz val="11"/>
        <color indexed="10"/>
        <rFont val="Arial"/>
        <family val="2"/>
      </rPr>
      <t>or</t>
    </r>
    <r>
      <rPr>
        <sz val="11"/>
        <color indexed="8"/>
        <rFont val="Arial"/>
        <family val="2"/>
      </rPr>
      <t xml:space="preserve"> (1A -USA) </t>
    </r>
    <r>
      <rPr>
        <sz val="11"/>
        <color indexed="10"/>
        <rFont val="Arial"/>
        <family val="2"/>
      </rPr>
      <t>or</t>
    </r>
    <r>
      <rPr>
        <sz val="11"/>
        <color indexed="8"/>
        <rFont val="Arial"/>
        <family val="2"/>
      </rPr>
      <t xml:space="preserve"> (5A -Std) </t>
    </r>
    <r>
      <rPr>
        <sz val="11"/>
        <color indexed="10"/>
        <rFont val="Arial"/>
        <family val="2"/>
      </rPr>
      <t>or</t>
    </r>
    <r>
      <rPr>
        <sz val="11"/>
        <color indexed="8"/>
        <rFont val="Arial"/>
        <family val="2"/>
      </rPr>
      <t xml:space="preserve"> (5A -USA) </t>
    </r>
    <r>
      <rPr>
        <sz val="11"/>
        <color indexed="10"/>
        <rFont val="Arial"/>
        <family val="2"/>
      </rPr>
      <t>or</t>
    </r>
    <r>
      <rPr>
        <sz val="11"/>
        <color indexed="8"/>
        <rFont val="Arial"/>
        <family val="2"/>
      </rPr>
      <t xml:space="preserve"> (5A[Phase]+5A[E/F] -USA)  C.T's. or KVGC</t>
    </r>
  </si>
  <si>
    <t>110 Volt - 3 V.T's.</t>
  </si>
  <si>
    <t>ZC0411007</t>
  </si>
  <si>
    <t>440 Volt - 3 V.T's.</t>
  </si>
  <si>
    <t>ZC0411008</t>
  </si>
  <si>
    <t>110 Volt - 1 'Sensitive' V.T.</t>
  </si>
  <si>
    <t>ZC0411026</t>
  </si>
  <si>
    <t>110 Volt - 1 V.T.</t>
  </si>
  <si>
    <t>ZC0411005</t>
  </si>
  <si>
    <t>440 Volt - 1 V.T.</t>
  </si>
  <si>
    <t>ZC0411006</t>
  </si>
  <si>
    <t>1 Amp - 1 Self-Energ. C.T. + 1 Phase C.T. + 1 E/F C.T.</t>
  </si>
  <si>
    <t>APPLICATION ? - 1 Amp - 1 Self-Energ. C.T. + 1 Phase C.T. + 1 E/F C.T.</t>
  </si>
  <si>
    <t>5 Amp - 1 Self-Energ. C.T. + 1 Phase C.T. + 1 E/F C.T.</t>
  </si>
  <si>
    <t>APPLICATION ?</t>
  </si>
  <si>
    <t>GJ0304053</t>
  </si>
  <si>
    <t>GJ0304054</t>
  </si>
  <si>
    <t>GJ0304051</t>
  </si>
  <si>
    <t>GJ0304052</t>
  </si>
  <si>
    <t>Tray 3 - Coils &amp; Laminations</t>
  </si>
  <si>
    <r>
      <t xml:space="preserve">(1A -Std) </t>
    </r>
    <r>
      <rPr>
        <sz val="11"/>
        <color indexed="10"/>
        <rFont val="Arial"/>
        <family val="2"/>
      </rPr>
      <t>or</t>
    </r>
    <r>
      <rPr>
        <sz val="11"/>
        <color indexed="8"/>
        <rFont val="Arial"/>
        <family val="2"/>
      </rPr>
      <t xml:space="preserve"> (1A -USA) or (5A -Std) or (5A -USA) or (5A[Phase]+5A[E/F] -USA) C.T's. or KVGC</t>
    </r>
  </si>
  <si>
    <t>110 Volt - 4 'Sensitive' V.T's.</t>
  </si>
  <si>
    <t>KCEU24201H91M**</t>
  </si>
  <si>
    <t>440 Volt - 4 'Sensitive' V.T's.</t>
  </si>
  <si>
    <t>APPLICATION ? - 110 Volt - 3 V.T's.</t>
  </si>
  <si>
    <t>APPLICATION ? - 440 Volt - 3 V.T's.</t>
  </si>
  <si>
    <t>A.C.Series Trip -Terminal Block &amp; Fasteners</t>
  </si>
  <si>
    <t>ZB4299073</t>
  </si>
  <si>
    <t>ZB5350126</t>
  </si>
  <si>
    <t>ZB4032217</t>
  </si>
  <si>
    <t>ZB5017041</t>
  </si>
  <si>
    <t>ZB4101017</t>
  </si>
  <si>
    <t>ZB5101041</t>
  </si>
  <si>
    <t>Old Model No</t>
  </si>
  <si>
    <t>New Model Nos</t>
  </si>
  <si>
    <t>Special</t>
  </si>
  <si>
    <t>KCEG14001F12LEE</t>
  </si>
  <si>
    <r>
      <t>KCEG14201F21</t>
    </r>
    <r>
      <rPr>
        <sz val="11"/>
        <color indexed="10"/>
        <rFont val="Arial"/>
        <family val="2"/>
      </rPr>
      <t>C</t>
    </r>
    <r>
      <rPr>
        <sz val="11"/>
        <rFont val="Arial"/>
        <family val="0"/>
      </rPr>
      <t>EA</t>
    </r>
  </si>
  <si>
    <r>
      <t>KCEG14201F21</t>
    </r>
    <r>
      <rPr>
        <sz val="11"/>
        <color indexed="10"/>
        <rFont val="Arial"/>
        <family val="2"/>
      </rPr>
      <t>D</t>
    </r>
    <r>
      <rPr>
        <sz val="11"/>
        <rFont val="Arial"/>
        <family val="0"/>
      </rPr>
      <t>EA</t>
    </r>
  </si>
  <si>
    <t>KCEG14001F12MEE</t>
  </si>
  <si>
    <r>
      <t>KCEG14201F21</t>
    </r>
    <r>
      <rPr>
        <sz val="11"/>
        <color indexed="10"/>
        <rFont val="Arial"/>
        <family val="2"/>
      </rPr>
      <t>E</t>
    </r>
    <r>
      <rPr>
        <sz val="11"/>
        <rFont val="Arial"/>
        <family val="0"/>
      </rPr>
      <t>EA</t>
    </r>
  </si>
  <si>
    <r>
      <t>KCEG14201F21</t>
    </r>
    <r>
      <rPr>
        <sz val="11"/>
        <color indexed="10"/>
        <rFont val="Arial"/>
        <family val="2"/>
      </rPr>
      <t>F</t>
    </r>
    <r>
      <rPr>
        <sz val="11"/>
        <rFont val="Arial"/>
        <family val="0"/>
      </rPr>
      <t>EA</t>
    </r>
  </si>
  <si>
    <t>KCEG14001F15LEE</t>
  </si>
  <si>
    <r>
      <t>KCEG14201F51</t>
    </r>
    <r>
      <rPr>
        <sz val="11"/>
        <color indexed="10"/>
        <rFont val="Arial"/>
        <family val="2"/>
      </rPr>
      <t>C</t>
    </r>
    <r>
      <rPr>
        <sz val="11"/>
        <rFont val="Arial"/>
        <family val="0"/>
      </rPr>
      <t>EA</t>
    </r>
  </si>
  <si>
    <r>
      <t>KCEG14201F51</t>
    </r>
    <r>
      <rPr>
        <sz val="11"/>
        <color indexed="10"/>
        <rFont val="Arial"/>
        <family val="2"/>
      </rPr>
      <t>D</t>
    </r>
    <r>
      <rPr>
        <sz val="11"/>
        <rFont val="Arial"/>
        <family val="0"/>
      </rPr>
      <t>EA</t>
    </r>
  </si>
  <si>
    <t>KCEG14001F15MEE</t>
  </si>
  <si>
    <r>
      <t>KCEG14201F51</t>
    </r>
    <r>
      <rPr>
        <sz val="11"/>
        <color indexed="10"/>
        <rFont val="Arial"/>
        <family val="2"/>
      </rPr>
      <t>E</t>
    </r>
    <r>
      <rPr>
        <sz val="11"/>
        <rFont val="Arial"/>
        <family val="0"/>
      </rPr>
      <t>EA</t>
    </r>
  </si>
  <si>
    <r>
      <t>KCEG14201F51</t>
    </r>
    <r>
      <rPr>
        <sz val="11"/>
        <color indexed="10"/>
        <rFont val="Arial"/>
        <family val="2"/>
      </rPr>
      <t>F</t>
    </r>
    <r>
      <rPr>
        <sz val="11"/>
        <rFont val="Arial"/>
        <family val="0"/>
      </rPr>
      <t>EA</t>
    </r>
  </si>
  <si>
    <t>KCGG14001D12CEE</t>
  </si>
  <si>
    <r>
      <t>KCGG14201D20</t>
    </r>
    <r>
      <rPr>
        <sz val="11"/>
        <color indexed="10"/>
        <rFont val="Arial"/>
        <family val="2"/>
      </rPr>
      <t>C</t>
    </r>
    <r>
      <rPr>
        <sz val="11"/>
        <rFont val="Arial"/>
        <family val="0"/>
      </rPr>
      <t>EA</t>
    </r>
  </si>
  <si>
    <r>
      <t>KCGG14201D20</t>
    </r>
    <r>
      <rPr>
        <sz val="11"/>
        <color indexed="10"/>
        <rFont val="Arial"/>
        <family val="2"/>
      </rPr>
      <t>D</t>
    </r>
    <r>
      <rPr>
        <sz val="11"/>
        <rFont val="Arial"/>
        <family val="0"/>
      </rPr>
      <t>EA</t>
    </r>
  </si>
  <si>
    <t>KCGG14001D12EEE</t>
  </si>
  <si>
    <r>
      <t>KCGG14201D20</t>
    </r>
    <r>
      <rPr>
        <sz val="11"/>
        <color indexed="10"/>
        <rFont val="Arial"/>
        <family val="2"/>
      </rPr>
      <t>E</t>
    </r>
    <r>
      <rPr>
        <sz val="11"/>
        <rFont val="Arial"/>
        <family val="0"/>
      </rPr>
      <t>EA</t>
    </r>
  </si>
  <si>
    <r>
      <t>KCGG14201D20</t>
    </r>
    <r>
      <rPr>
        <sz val="11"/>
        <color indexed="10"/>
        <rFont val="Arial"/>
        <family val="2"/>
      </rPr>
      <t>F</t>
    </r>
    <r>
      <rPr>
        <sz val="11"/>
        <rFont val="Arial"/>
        <family val="0"/>
      </rPr>
      <t>EA</t>
    </r>
  </si>
  <si>
    <t>KCGG14001D15CEE</t>
  </si>
  <si>
    <r>
      <t>KCGG14201D50</t>
    </r>
    <r>
      <rPr>
        <sz val="11"/>
        <color indexed="10"/>
        <rFont val="Arial"/>
        <family val="2"/>
      </rPr>
      <t>C</t>
    </r>
    <r>
      <rPr>
        <sz val="11"/>
        <rFont val="Arial"/>
        <family val="0"/>
      </rPr>
      <t>EA</t>
    </r>
  </si>
  <si>
    <r>
      <t>KCGG14201D50</t>
    </r>
    <r>
      <rPr>
        <sz val="11"/>
        <color indexed="10"/>
        <rFont val="Arial"/>
        <family val="2"/>
      </rPr>
      <t>D</t>
    </r>
    <r>
      <rPr>
        <sz val="11"/>
        <rFont val="Arial"/>
        <family val="0"/>
      </rPr>
      <t>EA</t>
    </r>
  </si>
  <si>
    <t>KCGG14001D15EEE</t>
  </si>
  <si>
    <r>
      <t>KCGG14201D50</t>
    </r>
    <r>
      <rPr>
        <sz val="11"/>
        <color indexed="10"/>
        <rFont val="Arial"/>
        <family val="2"/>
      </rPr>
      <t>E</t>
    </r>
    <r>
      <rPr>
        <sz val="11"/>
        <rFont val="Arial"/>
        <family val="0"/>
      </rPr>
      <t>EA</t>
    </r>
  </si>
  <si>
    <r>
      <t>KCGG14201D50</t>
    </r>
    <r>
      <rPr>
        <sz val="11"/>
        <color indexed="10"/>
        <rFont val="Arial"/>
        <family val="2"/>
      </rPr>
      <t>F</t>
    </r>
    <r>
      <rPr>
        <sz val="11"/>
        <rFont val="Arial"/>
        <family val="0"/>
      </rPr>
      <t>EA</t>
    </r>
  </si>
  <si>
    <t>Issue : A - As at 19/8/97</t>
  </si>
  <si>
    <r>
      <t>In the format     dd</t>
    </r>
    <r>
      <rPr>
        <b/>
        <sz val="12"/>
        <color indexed="10"/>
        <rFont val="Arial"/>
        <family val="2"/>
      </rPr>
      <t>/</t>
    </r>
    <r>
      <rPr>
        <sz val="12"/>
        <rFont val="Arial"/>
        <family val="2"/>
      </rPr>
      <t>mm</t>
    </r>
    <r>
      <rPr>
        <b/>
        <sz val="12"/>
        <color indexed="10"/>
        <rFont val="Arial"/>
        <family val="2"/>
      </rPr>
      <t>/</t>
    </r>
    <r>
      <rPr>
        <sz val="12"/>
        <rFont val="Arial"/>
        <family val="2"/>
      </rPr>
      <t>yyyy     (eg. 17</t>
    </r>
    <r>
      <rPr>
        <b/>
        <sz val="12"/>
        <color indexed="10"/>
        <rFont val="Arial"/>
        <family val="0"/>
      </rPr>
      <t>/</t>
    </r>
    <r>
      <rPr>
        <sz val="12"/>
        <rFont val="Arial"/>
        <family val="2"/>
      </rPr>
      <t>08</t>
    </r>
    <r>
      <rPr>
        <b/>
        <sz val="12"/>
        <color indexed="10"/>
        <rFont val="Arial"/>
        <family val="0"/>
      </rPr>
      <t>/</t>
    </r>
    <r>
      <rPr>
        <sz val="12"/>
        <color indexed="8"/>
        <rFont val="Arial"/>
        <family val="2"/>
      </rPr>
      <t>19</t>
    </r>
    <r>
      <rPr>
        <sz val="12"/>
        <rFont val="Arial"/>
        <family val="2"/>
      </rPr>
      <t>99)</t>
    </r>
  </si>
  <si>
    <t>104</t>
  </si>
  <si>
    <t>NO TH</t>
  </si>
  <si>
    <t>P/WORD</t>
  </si>
  <si>
    <t>… 1A Std/5A Std/1A Spec/5A Spec C.T.)</t>
  </si>
  <si>
    <t xml:space="preserve">Issue : 056 - As at 16/11/99 - KCGG241 Variants with "Reset Thermal/Peak Demand parameters w/o password" added(any language with ... </t>
  </si>
  <si>
    <t>KCGG241 - Reset Peak/Thermal Demand without password</t>
  </si>
  <si>
    <t>Issue : 057 - As at 23/11/99 - "No ANSI curves" added to description for software variants "04".</t>
  </si>
  <si>
    <t>No ANSI curves, reset Thermal/Peak Demand parameters without Password Protection</t>
  </si>
  <si>
    <t>KCGG141 ONLY</t>
  </si>
  <si>
    <t>05</t>
  </si>
  <si>
    <t>KCGG141 - Reduced Input/Output, with IEC &amp; ANSI curves</t>
  </si>
  <si>
    <t>… variants added.</t>
  </si>
  <si>
    <t>KCEG &amp; KVFG ONLY !</t>
  </si>
  <si>
    <t>Issue : 065 - As at 18/04/00 - KVGC202 introduced as replacement for KVGC102, Vn restricted to 110V.</t>
  </si>
  <si>
    <t xml:space="preserve">Issue : 058 - As at 24/11/99 - KCGG141 with "Reduced input/Output, with IEC &amp; ANSI curves" using "05" configuration/Connection Diagram ... </t>
  </si>
  <si>
    <t>105</t>
  </si>
  <si>
    <t>KCGG24104C</t>
  </si>
  <si>
    <t>Reduced Input/Output</t>
  </si>
  <si>
    <t>AREVA &amp; ALSTOM</t>
  </si>
  <si>
    <t>ALSTHOM</t>
  </si>
  <si>
    <t>… KCGG142 ONLY on "New Cortec" was "Reduced Input/Output, No ANSI curves".</t>
  </si>
  <si>
    <t xml:space="preserve">Issue : 059 - As at 13/12/99 - Software for KCGG14202 variants was "18KCEG102XXE" in error, "Configuration/Connection Diagram" for ... </t>
  </si>
  <si>
    <t>Issue : 060 - As at 19/01/00 - Correction of KCGG332/341 "AC Series Trip" variants to re-include Auxiliary unit.</t>
  </si>
  <si>
    <t>UNIT DRAWING NO</t>
  </si>
  <si>
    <t>SETTING INSTR.</t>
  </si>
  <si>
    <t>SPECIAL INSTR.</t>
  </si>
  <si>
    <t>Issue : 061 - As at 04/02/00 - Correction of KCGG14202 : "S/W REF HEX FILE" was "KCGG103XXE" in error.</t>
  </si>
  <si>
    <r>
      <t>KCEG142, KCEG242</t>
    </r>
    <r>
      <rPr>
        <b/>
        <sz val="11"/>
        <color indexed="56"/>
        <rFont val="Arial"/>
        <family val="2"/>
      </rPr>
      <t xml:space="preserve"> </t>
    </r>
    <r>
      <rPr>
        <b/>
        <sz val="11"/>
        <color indexed="10"/>
        <rFont val="Arial"/>
        <family val="2"/>
      </rPr>
      <t>&amp; KCGG241</t>
    </r>
    <r>
      <rPr>
        <b/>
        <sz val="11"/>
        <color indexed="56"/>
        <rFont val="Arial"/>
        <family val="2"/>
      </rPr>
      <t xml:space="preserve"> </t>
    </r>
    <r>
      <rPr>
        <b/>
        <sz val="11"/>
        <color indexed="10"/>
        <rFont val="Arial"/>
        <family val="2"/>
      </rPr>
      <t>ONLY</t>
    </r>
  </si>
  <si>
    <r>
      <t>Reduced Input/Output,</t>
    </r>
    <r>
      <rPr>
        <sz val="11"/>
        <color indexed="56"/>
        <rFont val="Arial"/>
        <family val="2"/>
      </rPr>
      <t xml:space="preserve"> </t>
    </r>
    <r>
      <rPr>
        <sz val="11"/>
        <color indexed="8"/>
        <rFont val="Arial"/>
        <family val="2"/>
      </rPr>
      <t>With IEC &amp; ANSI curves</t>
    </r>
  </si>
  <si>
    <t>KCEG142 - Reset Peak/Thermal Demand without password</t>
  </si>
  <si>
    <t>204</t>
  </si>
  <si>
    <t>KCEG14204C</t>
  </si>
  <si>
    <t>KCEG14204D</t>
  </si>
  <si>
    <t>KCEG14204E</t>
  </si>
  <si>
    <t>KCEG14204F</t>
  </si>
  <si>
    <t>Issue : 062 - As at 08/02/00 - Addition of Configuration/Connection Diagram "04" variants of KCEG142.</t>
  </si>
  <si>
    <t>KCEG112, KCEG152, KCEG242 &amp; KCEU ONLY !</t>
  </si>
  <si>
    <t>Issue : 073 - As at 11/08/03 - Effective 26/08/03 : Design Suffix for KCEG112 was "C", KCEG142 was "D", KCEG152 was "C", KCEG242 was "C" …</t>
  </si>
  <si>
    <r>
      <t xml:space="preserve">Actual </t>
    </r>
    <r>
      <rPr>
        <b/>
        <sz val="11"/>
        <color indexed="10"/>
        <rFont val="Arial"/>
        <family val="0"/>
      </rPr>
      <t>OR</t>
    </r>
    <r>
      <rPr>
        <b/>
        <sz val="11"/>
        <rFont val="Arial"/>
        <family val="0"/>
      </rPr>
      <t xml:space="preserve"> Expected Date of Despatch (</t>
    </r>
    <r>
      <rPr>
        <b/>
        <sz val="11"/>
        <color indexed="10"/>
        <rFont val="Arial"/>
        <family val="2"/>
      </rPr>
      <t>DEFAULT = TODAY</t>
    </r>
    <r>
      <rPr>
        <b/>
        <sz val="11"/>
        <rFont val="Arial"/>
        <family val="0"/>
      </rPr>
      <t>)</t>
    </r>
  </si>
  <si>
    <t>KCGG241 ONLY !</t>
  </si>
  <si>
    <t>06</t>
  </si>
  <si>
    <t>106</t>
  </si>
  <si>
    <t>KCGG24E</t>
  </si>
  <si>
    <t>KCGG241 - Reduced burden</t>
  </si>
  <si>
    <t>: 20KCGG24106</t>
  </si>
  <si>
    <t>: 08KCGG24106</t>
  </si>
  <si>
    <t>: 02KCGG24106</t>
  </si>
  <si>
    <t>: 10KCGG24106</t>
  </si>
  <si>
    <t>GJ00140??</t>
  </si>
  <si>
    <t>KCGG241E</t>
  </si>
  <si>
    <t>KCGG24106C</t>
  </si>
  <si>
    <t>KCGG24106E</t>
  </si>
  <si>
    <t>KCGG24106H90C**</t>
  </si>
  <si>
    <t>Shorted &amp; Reduced Input/Output</t>
  </si>
  <si>
    <t>NOT for Dual Powered !</t>
  </si>
  <si>
    <t>I/O</t>
  </si>
  <si>
    <t>SHORT</t>
  </si>
  <si>
    <t>Issue : 063 - As at 01/03/00 - Addition of Configuration/Connection Diagram "06" variants of KCGG241, restriction of C.T's. for Dual Powered …</t>
  </si>
  <si>
    <t>Issue : 070 - As at 14/02/01 - Processor PCBs were ZJ0386***.</t>
  </si>
  <si>
    <t>... to IA/5A Standard only.</t>
  </si>
  <si>
    <t>GJ9178318</t>
  </si>
  <si>
    <t>-</t>
  </si>
  <si>
    <t>/</t>
  </si>
  <si>
    <t>GJ91?????</t>
  </si>
  <si>
    <t>KCEU1421</t>
  </si>
  <si>
    <t>KCEU2421</t>
  </si>
  <si>
    <t>KCGG1221</t>
  </si>
  <si>
    <t>KCEG1521</t>
  </si>
  <si>
    <t>NOT for KCGG332 !</t>
  </si>
  <si>
    <t>KCGG3321</t>
  </si>
  <si>
    <t>ZC0411028</t>
  </si>
  <si>
    <t>KCGG24101*90F**</t>
  </si>
  <si>
    <t>KVFG12201*21A**</t>
  </si>
  <si>
    <t>KVFG12201*24A**</t>
  </si>
  <si>
    <t>KVFG14201*21A**</t>
  </si>
  <si>
    <t>KVFG14201*24A**</t>
  </si>
  <si>
    <t>KCEG11201*21C**</t>
  </si>
  <si>
    <t>KCEG11201*24C**</t>
  </si>
  <si>
    <t>KCEG11201*21D**</t>
  </si>
  <si>
    <t>KCEG11201*24D**</t>
  </si>
  <si>
    <t>KCEG11201*21E**</t>
  </si>
  <si>
    <t>KCEG11201*24E**</t>
  </si>
  <si>
    <t>KCEG11201*21F**</t>
  </si>
  <si>
    <t>KCEG11201*24F**</t>
  </si>
  <si>
    <t>KCEG11201*21L**</t>
  </si>
  <si>
    <t>KCEG11201*24L**</t>
  </si>
  <si>
    <t>KCEG11201*21M**</t>
  </si>
  <si>
    <t>KCEG11201*24M**</t>
  </si>
  <si>
    <t>KCEG14201*21C**</t>
  </si>
  <si>
    <t>KCEG14201*24C**</t>
  </si>
  <si>
    <t>KCEG14201*21D**</t>
  </si>
  <si>
    <t>KCEG14201*24D**</t>
  </si>
  <si>
    <t>KCEG14201*21E**</t>
  </si>
  <si>
    <t>KCEG14201*24E**</t>
  </si>
  <si>
    <t>KCEG14201*21F**</t>
  </si>
  <si>
    <t>KCEG14201*24F**</t>
  </si>
  <si>
    <t>KCEU14201*21L**</t>
  </si>
  <si>
    <t>KCEU14201*21M**</t>
  </si>
  <si>
    <t>KCEU14201*21P**</t>
  </si>
  <si>
    <t>KCEG15201*21C**</t>
  </si>
  <si>
    <t>KCEG15201*24C**</t>
  </si>
  <si>
    <t>KCEG15201*21D**</t>
  </si>
  <si>
    <t>KCEG15201*24D**</t>
  </si>
  <si>
    <t>KCEG15201*21E**</t>
  </si>
  <si>
    <t>KCEG15201*24E**</t>
  </si>
  <si>
    <t>KCEG15201*21F**</t>
  </si>
  <si>
    <t>KCEG15201*24F**</t>
  </si>
  <si>
    <t>KCEG15201*21L**</t>
  </si>
  <si>
    <t>KCEG15201*24L**</t>
  </si>
  <si>
    <t>KCEG15201*21M**</t>
  </si>
  <si>
    <t>KCEG15201*24M**</t>
  </si>
  <si>
    <t>KCEG15201*21P**</t>
  </si>
  <si>
    <t>KCEG15201*24P**</t>
  </si>
  <si>
    <t>KCEG24201*91C**</t>
  </si>
  <si>
    <t>KCEG24201*94C**</t>
  </si>
  <si>
    <t>KCEG24201*91E**</t>
  </si>
  <si>
    <t>KCEG24201*94E**</t>
  </si>
  <si>
    <t>KCEG24201*91L**</t>
  </si>
  <si>
    <t>KCEG24201*94L**</t>
  </si>
  <si>
    <t>KCEG24201*91M**</t>
  </si>
  <si>
    <t>KCEG24201*94M**</t>
  </si>
  <si>
    <t>KCGG34101*90C**</t>
  </si>
  <si>
    <t>KCGG34101*90D**</t>
  </si>
  <si>
    <t>KCGG34101*90E**</t>
  </si>
  <si>
    <t>KCGG34101*90F**</t>
  </si>
  <si>
    <t>KVGC10201*21G**</t>
  </si>
  <si>
    <t>KCGG12201*20C**</t>
  </si>
  <si>
    <t>KCGG12201*20D**</t>
  </si>
  <si>
    <t>KCGG12201*20E**</t>
  </si>
  <si>
    <t>KCGG12201*20F**</t>
  </si>
  <si>
    <t>KCGG14101*20C**</t>
  </si>
  <si>
    <t>KCGG14101*20D**</t>
  </si>
  <si>
    <t>KCGG14101*20E**</t>
  </si>
  <si>
    <t>KCGG14101*20F**</t>
  </si>
  <si>
    <t>KVGC20201*21G**</t>
  </si>
  <si>
    <t>KCGG24101*90C**</t>
  </si>
  <si>
    <t>KCGG24101*90D**</t>
  </si>
  <si>
    <t>KCGG24101*90E**</t>
  </si>
  <si>
    <t>KCGG24106*90E**</t>
  </si>
  <si>
    <t>KCGG24106*90C**</t>
  </si>
  <si>
    <t>KCGG14201*20F**</t>
  </si>
  <si>
    <t>KCGG14201*20C**</t>
  </si>
  <si>
    <t>KCGG14201*20D**</t>
  </si>
  <si>
    <t>KCGG14201*20E**</t>
  </si>
  <si>
    <t>KCGG14202*20C**</t>
  </si>
  <si>
    <t>KCGG14202*20D**</t>
  </si>
  <si>
    <t>KCGG14202*20E**</t>
  </si>
  <si>
    <t>KCGG14202*20F**</t>
  </si>
  <si>
    <t>KCEU24201*91L**</t>
  </si>
  <si>
    <t>KVGC20</t>
  </si>
  <si>
    <t>KVGC2011</t>
  </si>
  <si>
    <t>KVGC2021</t>
  </si>
  <si>
    <t>KVGC2022</t>
  </si>
  <si>
    <t>KVGC2023</t>
  </si>
  <si>
    <t>KVGC2031</t>
  </si>
  <si>
    <t>External Reference Voltage Supply</t>
  </si>
  <si>
    <t>KVGC202 ONLY !</t>
  </si>
  <si>
    <t>KVGC202</t>
  </si>
  <si>
    <t>KVGC20G</t>
  </si>
  <si>
    <t>EXTERNAL REFERENCE VOLTAGE SUPPLY</t>
  </si>
  <si>
    <t>: 20KVGC20201</t>
  </si>
  <si>
    <t>: 08KVGC20201</t>
  </si>
  <si>
    <t>: 02KVGC20201</t>
  </si>
  <si>
    <t>: 10KVGC20200 &amp; 01</t>
  </si>
  <si>
    <t>: 07KVGC202</t>
  </si>
  <si>
    <t>GJ0014100</t>
  </si>
  <si>
    <t>KVGC202G</t>
  </si>
  <si>
    <t>KVGC20201G</t>
  </si>
  <si>
    <t>KVGC202XXG</t>
  </si>
  <si>
    <t>KCGG3421</t>
  </si>
  <si>
    <t>ZJ0419001</t>
  </si>
  <si>
    <t>Issue : 072 - As at 10/07/03 - User Interface was ZJ0363001: should have changed 1 year ago!</t>
  </si>
  <si>
    <t>WITH 3 INPUTS &amp; 4 OUTPUTS - PRE-CONFIGURED WITH SIMPLIFIED</t>
  </si>
  <si>
    <t>KVFG1221</t>
  </si>
  <si>
    <t>KVFG1421</t>
  </si>
  <si>
    <t>KVGC1021</t>
  </si>
  <si>
    <t>KCEG2421</t>
  </si>
  <si>
    <t>KCGG1421</t>
  </si>
  <si>
    <t>KCGG2421</t>
  </si>
  <si>
    <t>Digits 1 - 5 of Nomenclature</t>
  </si>
  <si>
    <t>KCEG1111</t>
  </si>
  <si>
    <t>KCEG1121</t>
  </si>
  <si>
    <t>KCEG1122</t>
  </si>
  <si>
    <t>KCEG1123</t>
  </si>
  <si>
    <t>KCEG1131</t>
  </si>
  <si>
    <t>KCEG1411</t>
  </si>
  <si>
    <t>KCEG1422</t>
  </si>
  <si>
    <t>KCEG1423</t>
  </si>
  <si>
    <t>KCEG1431</t>
  </si>
  <si>
    <t>KCEG1511</t>
  </si>
  <si>
    <t>KCEG1522</t>
  </si>
  <si>
    <t>KCEG1523</t>
  </si>
  <si>
    <t>KCEG1531</t>
  </si>
  <si>
    <t>KCEG2411</t>
  </si>
  <si>
    <t>KCEG2422</t>
  </si>
  <si>
    <t>KCEG2423</t>
  </si>
  <si>
    <t>KCEG2431</t>
  </si>
  <si>
    <t>KCEU1411</t>
  </si>
  <si>
    <t>KCEU1422</t>
  </si>
  <si>
    <t>KCEU1423</t>
  </si>
  <si>
    <t>KCEU1431</t>
  </si>
  <si>
    <t>KCEU2411</t>
  </si>
  <si>
    <t>KCEU2422</t>
  </si>
  <si>
    <t>KCEU2423</t>
  </si>
  <si>
    <t>KCEU2431</t>
  </si>
  <si>
    <t>KCGG1211</t>
  </si>
  <si>
    <t>KCGG1222</t>
  </si>
  <si>
    <t>KCGG1223</t>
  </si>
  <si>
    <t>KCGG1231</t>
  </si>
  <si>
    <t>KCGG1411</t>
  </si>
  <si>
    <t>KCGG1422</t>
  </si>
  <si>
    <t>KCGG1423</t>
  </si>
  <si>
    <t>KCGG1431</t>
  </si>
  <si>
    <t>KCGG1511</t>
  </si>
  <si>
    <t>KCGG1522</t>
  </si>
  <si>
    <t>KCGG1523</t>
  </si>
  <si>
    <t>KCGG1531</t>
  </si>
  <si>
    <t>KCGG2411</t>
  </si>
  <si>
    <t>KCGG2422</t>
  </si>
  <si>
    <t>KCGG2423</t>
  </si>
  <si>
    <t>KCGG2431</t>
  </si>
  <si>
    <t>KCGG3311</t>
  </si>
  <si>
    <t>KCGG3322</t>
  </si>
  <si>
    <t>KCGG3323</t>
  </si>
  <si>
    <t>KCGG3331</t>
  </si>
  <si>
    <t>KCGG3411</t>
  </si>
  <si>
    <t>KCGG3422</t>
  </si>
  <si>
    <t>KCGG3423</t>
  </si>
  <si>
    <t>KCGG3431</t>
  </si>
  <si>
    <t>KVFG1211</t>
  </si>
  <si>
    <t>KVFG1222</t>
  </si>
  <si>
    <t>KVFG1223</t>
  </si>
  <si>
    <t>KVFG1231</t>
  </si>
  <si>
    <t>KVFG1411</t>
  </si>
  <si>
    <t>KVFG1422</t>
  </si>
  <si>
    <t>KVFG1423</t>
  </si>
  <si>
    <t>KVFG1431</t>
  </si>
  <si>
    <t>KVGC1011</t>
  </si>
  <si>
    <t>KVGC1022</t>
  </si>
  <si>
    <t>KVGC1023</t>
  </si>
  <si>
    <t>KVGC1031</t>
  </si>
  <si>
    <t>Issue : 064 - As at 22/03/00 - Corporate colour case/nameplate changes.</t>
  </si>
  <si>
    <t>KCEG1421</t>
  </si>
  <si>
    <t>KCEG152XXC</t>
  </si>
  <si>
    <t>Selected Nameplate</t>
  </si>
  <si>
    <t>COMPATIBILITY</t>
  </si>
  <si>
    <t>Date Key</t>
  </si>
  <si>
    <t>Compatibility Key</t>
  </si>
  <si>
    <t>Compatibility</t>
  </si>
  <si>
    <t>Select ONE of …</t>
  </si>
  <si>
    <t>MiCOM compatible (Blue case with grey cover)</t>
  </si>
  <si>
    <t>MIDOS compatible(Yellow case with black cover)</t>
  </si>
  <si>
    <t>K*****11</t>
  </si>
  <si>
    <t>"K Range Series 2" Nomenclature/Cortec</t>
  </si>
  <si>
    <r>
      <t>K</t>
    </r>
    <r>
      <rPr>
        <b/>
        <sz val="16"/>
        <color indexed="10"/>
        <rFont val="Arial"/>
        <family val="2"/>
      </rPr>
      <t>***</t>
    </r>
    <r>
      <rPr>
        <b/>
        <sz val="16"/>
        <rFont val="Arial"/>
        <family val="2"/>
      </rPr>
      <t xml:space="preserve"> ECORTEC</t>
    </r>
  </si>
  <si>
    <t>Issue:</t>
  </si>
  <si>
    <t>(A to Z)</t>
  </si>
  <si>
    <r>
      <t>See Model List (</t>
    </r>
    <r>
      <rPr>
        <sz val="11"/>
        <color indexed="10"/>
        <rFont val="Arial"/>
        <family val="2"/>
      </rPr>
      <t>Factory Defined</t>
    </r>
    <r>
      <rPr>
        <sz val="11"/>
        <rFont val="Arial"/>
        <family val="0"/>
      </rPr>
      <t>)</t>
    </r>
  </si>
  <si>
    <t>Language</t>
  </si>
  <si>
    <t>Spanish</t>
  </si>
  <si>
    <t>S</t>
  </si>
  <si>
    <t>German</t>
  </si>
  <si>
    <t>G</t>
  </si>
  <si>
    <t>French</t>
  </si>
  <si>
    <t>F</t>
  </si>
  <si>
    <t>English</t>
  </si>
  <si>
    <t>E</t>
  </si>
  <si>
    <t>C.T.Rating</t>
  </si>
  <si>
    <t>KVFG ONLY !</t>
  </si>
  <si>
    <t>Selection Inappropriate</t>
  </si>
  <si>
    <t>A</t>
  </si>
  <si>
    <r>
      <t>1</t>
    </r>
    <r>
      <rPr>
        <sz val="11"/>
        <color indexed="8"/>
        <rFont val="Arial"/>
        <family val="2"/>
      </rPr>
      <t xml:space="preserve"> Amp C.T. (0.005xIn to 0.8xIn for Earth Faults) "</t>
    </r>
    <r>
      <rPr>
        <sz val="11"/>
        <color indexed="10"/>
        <rFont val="Arial"/>
        <family val="2"/>
      </rPr>
      <t>STD</t>
    </r>
    <r>
      <rPr>
        <sz val="11"/>
        <color indexed="8"/>
        <rFont val="Arial"/>
        <family val="2"/>
      </rPr>
      <t>"</t>
    </r>
  </si>
  <si>
    <t>C</t>
  </si>
  <si>
    <r>
      <t>1</t>
    </r>
    <r>
      <rPr>
        <sz val="11"/>
        <color indexed="8"/>
        <rFont val="Arial"/>
        <family val="2"/>
      </rPr>
      <t xml:space="preserve"> Amp C.T. (0.02xIn to 3.2xIn for Earth Faults) "</t>
    </r>
    <r>
      <rPr>
        <sz val="11"/>
        <color indexed="10"/>
        <rFont val="Arial"/>
        <family val="2"/>
      </rPr>
      <t>SPEC</t>
    </r>
    <r>
      <rPr>
        <sz val="11"/>
        <color indexed="8"/>
        <rFont val="Arial"/>
        <family val="2"/>
      </rPr>
      <t>"</t>
    </r>
  </si>
  <si>
    <t>D</t>
  </si>
  <si>
    <r>
      <t>5</t>
    </r>
    <r>
      <rPr>
        <sz val="11"/>
        <color indexed="8"/>
        <rFont val="Arial"/>
        <family val="2"/>
      </rPr>
      <t xml:space="preserve"> Amp C.T. (0.005xIn to 0.8xIn for Earth Faults) "</t>
    </r>
    <r>
      <rPr>
        <sz val="11"/>
        <color indexed="10"/>
        <rFont val="Arial"/>
        <family val="2"/>
      </rPr>
      <t>STD</t>
    </r>
    <r>
      <rPr>
        <sz val="11"/>
        <color indexed="8"/>
        <rFont val="Arial"/>
        <family val="2"/>
      </rPr>
      <t>"</t>
    </r>
  </si>
  <si>
    <r>
      <t>5</t>
    </r>
    <r>
      <rPr>
        <sz val="11"/>
        <color indexed="8"/>
        <rFont val="Arial"/>
        <family val="2"/>
      </rPr>
      <t xml:space="preserve"> Amp C.T. (0.02xIn to 3.2xIn for Earth Faults) "</t>
    </r>
    <r>
      <rPr>
        <sz val="11"/>
        <color indexed="10"/>
        <rFont val="Arial"/>
        <family val="2"/>
      </rPr>
      <t>SPEC</t>
    </r>
    <r>
      <rPr>
        <sz val="11"/>
        <color indexed="8"/>
        <rFont val="Arial"/>
        <family val="2"/>
      </rPr>
      <t>"</t>
    </r>
  </si>
  <si>
    <t>KVGC ONLY !</t>
  </si>
  <si>
    <r>
      <t>1</t>
    </r>
    <r>
      <rPr>
        <sz val="11"/>
        <color indexed="8"/>
        <rFont val="Arial"/>
        <family val="2"/>
      </rPr>
      <t xml:space="preserve"> Amp &amp; </t>
    </r>
    <r>
      <rPr>
        <sz val="11"/>
        <color indexed="10"/>
        <rFont val="Arial"/>
        <family val="2"/>
      </rPr>
      <t>5</t>
    </r>
    <r>
      <rPr>
        <sz val="11"/>
        <color indexed="8"/>
        <rFont val="Arial"/>
        <family val="2"/>
      </rPr>
      <t xml:space="preserve"> Amp Software Selectable</t>
    </r>
  </si>
  <si>
    <r>
      <t xml:space="preserve">1 </t>
    </r>
    <r>
      <rPr>
        <sz val="11"/>
        <color indexed="8"/>
        <rFont val="Arial"/>
        <family val="2"/>
      </rPr>
      <t>Amp C.T. (0.001xIn to 0.16xIn for Earth Faults) "</t>
    </r>
    <r>
      <rPr>
        <sz val="11"/>
        <color indexed="10"/>
        <rFont val="Arial"/>
        <family val="2"/>
      </rPr>
      <t>SENSITIVE</t>
    </r>
    <r>
      <rPr>
        <sz val="11"/>
        <color indexed="8"/>
        <rFont val="Arial"/>
        <family val="2"/>
      </rPr>
      <t>"</t>
    </r>
  </si>
  <si>
    <t>L</t>
  </si>
  <si>
    <r>
      <t xml:space="preserve">5 </t>
    </r>
    <r>
      <rPr>
        <sz val="11"/>
        <color indexed="8"/>
        <rFont val="Arial"/>
        <family val="2"/>
      </rPr>
      <t>Amp C.T. (0.001xIn to 0.16xIn for Earth Faults) "</t>
    </r>
    <r>
      <rPr>
        <sz val="11"/>
        <color indexed="10"/>
        <rFont val="Arial"/>
        <family val="2"/>
      </rPr>
      <t>SENSITIVE</t>
    </r>
    <r>
      <rPr>
        <sz val="11"/>
        <color indexed="8"/>
        <rFont val="Arial"/>
        <family val="2"/>
      </rPr>
      <t>"</t>
    </r>
  </si>
  <si>
    <t>M</t>
  </si>
  <si>
    <t>KCEG152 &amp; KCEU142 ONLY !</t>
  </si>
  <si>
    <r>
      <t xml:space="preserve">5 </t>
    </r>
    <r>
      <rPr>
        <sz val="11"/>
        <color indexed="8"/>
        <rFont val="Arial"/>
        <family val="2"/>
      </rPr>
      <t xml:space="preserve">Amp Phase C.T's./ </t>
    </r>
    <r>
      <rPr>
        <sz val="11"/>
        <color indexed="10"/>
        <rFont val="Arial"/>
        <family val="2"/>
      </rPr>
      <t>1</t>
    </r>
    <r>
      <rPr>
        <sz val="11"/>
        <color indexed="8"/>
        <rFont val="Arial"/>
        <family val="2"/>
      </rPr>
      <t xml:space="preserve"> Amp "</t>
    </r>
    <r>
      <rPr>
        <sz val="11"/>
        <color indexed="10"/>
        <rFont val="Arial"/>
        <family val="2"/>
      </rPr>
      <t>SENSITIVE</t>
    </r>
    <r>
      <rPr>
        <sz val="11"/>
        <color indexed="8"/>
        <rFont val="Arial"/>
        <family val="2"/>
      </rPr>
      <t>" Earth Fault C.T.</t>
    </r>
    <r>
      <rPr>
        <sz val="11"/>
        <color indexed="10"/>
        <rFont val="Arial"/>
        <family val="2"/>
      </rPr>
      <t xml:space="preserve"> </t>
    </r>
  </si>
  <si>
    <t>P</t>
  </si>
  <si>
    <t>Operating Voltage</t>
  </si>
  <si>
    <t>KCGG ONLY !</t>
  </si>
  <si>
    <t>Zero'Vac</t>
  </si>
  <si>
    <t>KCEG, KCEU, KVFG &amp; KVGC ONLY !</t>
  </si>
  <si>
    <t>110 Vac / 50 - 60Hz</t>
  </si>
  <si>
    <t>440 Vac / 50 - 60Hz</t>
  </si>
  <si>
    <t>Preferred Option</t>
  </si>
  <si>
    <t>110 - 440 Vac / 50 - 60Hz</t>
  </si>
  <si>
    <t>Withdrawn prior to Issue !</t>
  </si>
  <si>
    <t>Auxiliary Voltage (Vx)</t>
  </si>
  <si>
    <t>Nominal</t>
  </si>
  <si>
    <t>Operative</t>
  </si>
  <si>
    <t>dc</t>
  </si>
  <si>
    <t>ac</t>
  </si>
  <si>
    <t>Aux.Powered ONLY !</t>
  </si>
  <si>
    <t>48 - 250V</t>
  </si>
  <si>
    <t>33 - 300</t>
  </si>
  <si>
    <t>87 - 265</t>
  </si>
  <si>
    <t>24 - 125V</t>
  </si>
  <si>
    <t>20 - 150</t>
  </si>
  <si>
    <t>50 - 133</t>
  </si>
  <si>
    <t>Dual Powered ONLY !</t>
  </si>
  <si>
    <t>100 - 250V</t>
  </si>
  <si>
    <t>60 - 300</t>
  </si>
  <si>
    <t>60 - 265</t>
  </si>
  <si>
    <t>Case &amp; Mounting</t>
  </si>
  <si>
    <t>W</t>
  </si>
  <si>
    <t>Y</t>
  </si>
  <si>
    <t>ALL OTHERS</t>
  </si>
  <si>
    <t>Size 4</t>
  </si>
  <si>
    <t>KCEG142, KCEG152, KCEU142, KVFG142 &amp; KVGC</t>
  </si>
  <si>
    <t>Size 6</t>
  </si>
  <si>
    <t>KCEG242, KCEU242, KCGG241, KCGG332 &amp; KCGG341</t>
  </si>
  <si>
    <t>Size 8</t>
  </si>
  <si>
    <t>H</t>
  </si>
  <si>
    <t>Configuration / Connection Diagram</t>
  </si>
  <si>
    <t>Default Settings</t>
  </si>
  <si>
    <t>01</t>
  </si>
  <si>
    <t>KCGG142 ONLY</t>
  </si>
  <si>
    <t>02</t>
  </si>
  <si>
    <t>KCGG142 (Standard) ONLY</t>
  </si>
  <si>
    <t>No ANSI Curves, with O/C Feature Auxiliary Timer1</t>
  </si>
  <si>
    <t>03</t>
  </si>
  <si>
    <t>04</t>
  </si>
  <si>
    <t>KCGG142 - Reduced Input/Output ONLY</t>
  </si>
  <si>
    <t>Customer Defined Settings</t>
  </si>
  <si>
    <t>XY</t>
  </si>
  <si>
    <t>XX</t>
  </si>
  <si>
    <t>Mark (Application)</t>
  </si>
  <si>
    <t>Standard</t>
  </si>
  <si>
    <t>KCGG142 &amp; KCGG332 ONLY !</t>
  </si>
  <si>
    <t>3 Inputs - 4 Outputs</t>
  </si>
  <si>
    <t>KCGG141, KCGG241 &amp; KCGG341 ONLY !</t>
  </si>
  <si>
    <t>3 Inputs - 4 Outputs - pre-configured with simplified functionality</t>
  </si>
  <si>
    <t>Measuring Elements</t>
  </si>
  <si>
    <t>Fixed Configuration</t>
  </si>
  <si>
    <t>KCEG112 ONLY</t>
  </si>
  <si>
    <t>Directional Earth Fault</t>
  </si>
  <si>
    <t>KCGG122 ONLY</t>
  </si>
  <si>
    <t>(1 x Overcurrent) + (1 x Earth Fault)</t>
  </si>
  <si>
    <t>KVFG122 ONLY</t>
  </si>
  <si>
    <t>2 Pole</t>
  </si>
  <si>
    <t>KCGG332 ONLY !</t>
  </si>
  <si>
    <t>(3 x Overcurrent) + (1 x Earth Fault) for WAPDA</t>
  </si>
  <si>
    <t>(3 x Overcurrent) + (1 x Earth Fault)</t>
  </si>
  <si>
    <t>KVFG142 ONLY</t>
  </si>
  <si>
    <t>4 Pole</t>
  </si>
  <si>
    <t>KCEG152 ONLY</t>
  </si>
  <si>
    <t>(3 x Overcurrent) + (Directional Earth Fault)</t>
  </si>
  <si>
    <t>Power Source</t>
  </si>
  <si>
    <t>Auxiliary Powered</t>
  </si>
  <si>
    <r>
      <t>KCEG242,</t>
    </r>
    <r>
      <rPr>
        <b/>
        <sz val="11"/>
        <color indexed="10"/>
        <rFont val="Arial"/>
        <family val="2"/>
      </rPr>
      <t xml:space="preserve"> KCEU242 &amp; KCGG241 </t>
    </r>
    <r>
      <rPr>
        <b/>
        <sz val="11"/>
        <color indexed="10"/>
        <rFont val="Arial"/>
        <family val="0"/>
      </rPr>
      <t>ONLY !</t>
    </r>
  </si>
  <si>
    <t>Dual Powered</t>
  </si>
  <si>
    <r>
      <t xml:space="preserve">KCGG332 &amp; KCGG341 </t>
    </r>
    <r>
      <rPr>
        <b/>
        <sz val="11"/>
        <color indexed="10"/>
        <rFont val="Arial"/>
        <family val="0"/>
      </rPr>
      <t>ONLY !</t>
    </r>
  </si>
  <si>
    <t>Dual Powered for AC Series Trip</t>
  </si>
  <si>
    <t>Applications</t>
  </si>
  <si>
    <t>KCEU*** ONLY</t>
  </si>
  <si>
    <t>General with Wattmetric Earth Fault &amp; Thermal Protection</t>
  </si>
  <si>
    <t>U</t>
  </si>
  <si>
    <t>K**G*** ONLY</t>
  </si>
  <si>
    <t>General Application</t>
  </si>
  <si>
    <t>KVGC*** ONLY</t>
  </si>
  <si>
    <t>Control Application</t>
  </si>
  <si>
    <t>Characteristics</t>
  </si>
  <si>
    <t>Directional</t>
  </si>
  <si>
    <t>Frequency</t>
  </si>
  <si>
    <t>Non-Directional</t>
  </si>
  <si>
    <t>Measurement Source</t>
  </si>
  <si>
    <t>Overcurrent and/or Earth Fault Current</t>
  </si>
  <si>
    <r>
      <t>Voltage Regulating Relay (</t>
    </r>
    <r>
      <rPr>
        <sz val="11"/>
        <color indexed="10"/>
        <rFont val="Arial"/>
        <family val="2"/>
      </rPr>
      <t>Tap Changer</t>
    </r>
    <r>
      <rPr>
        <sz val="11"/>
        <color indexed="8"/>
        <rFont val="Arial"/>
        <family val="2"/>
      </rPr>
      <t>)</t>
    </r>
  </si>
  <si>
    <t>V</t>
  </si>
  <si>
    <t>Voltage &amp; Frequency Relay</t>
  </si>
  <si>
    <t>Generic Name for Series of Relays</t>
  </si>
  <si>
    <t>K</t>
  </si>
  <si>
    <t>*</t>
  </si>
  <si>
    <t>Digit No.</t>
  </si>
  <si>
    <t>Date:</t>
  </si>
  <si>
    <t>Digit Type</t>
  </si>
  <si>
    <t>N</t>
  </si>
  <si>
    <t>X</t>
  </si>
  <si>
    <t>(A=Alpha, N=Numeric and X=Either)</t>
  </si>
  <si>
    <t>"K Range Series 2" ECORTEC</t>
  </si>
  <si>
    <t>Digit No</t>
  </si>
  <si>
    <t>8 &amp; 9</t>
  </si>
  <si>
    <t>Model No</t>
  </si>
  <si>
    <t>Case</t>
  </si>
  <si>
    <t>Auxiliary Voltage (Vx):</t>
  </si>
  <si>
    <t>Preferred</t>
  </si>
  <si>
    <t>110 - 440Vac / 50 - 60Hz</t>
  </si>
  <si>
    <t>Issue A : As at 18/6/97</t>
  </si>
  <si>
    <t>Issue B : As at 20/6/97 - Adding KCEG143, making KCGU Configurations impossible ...</t>
  </si>
  <si>
    <t xml:space="preserve">...and KCE* Measuring  Elements selections Directional only. </t>
  </si>
  <si>
    <t>Issue C : As at 7/7/97 - Removing AC/DC option on Nomenclature and replacing with ...</t>
  </si>
  <si>
    <t>... Operative AC/DC Voltages for each selection</t>
  </si>
  <si>
    <t>Issue D : As at 16/7/97 - Adding 'Zero'Vac for KCGG options only and restricting  ...</t>
  </si>
  <si>
    <t>... KCEG options to 110 or 440Vac versions</t>
  </si>
  <si>
    <t>Issue E : As at 18/7/97 - Amending text for C.T. ratings from 'USA configured' to...</t>
  </si>
  <si>
    <t>... factors of In</t>
  </si>
  <si>
    <t>Issue F : As at 24/7/97 - Amending digits 8 &amp; 9 to "XX" IF Default Settings NOT required</t>
  </si>
  <si>
    <t>and removing block on French, German and Spanish language versions</t>
  </si>
  <si>
    <t>Issue G : As at 4/9/97 - Amending document headers from "K-Series (Enhanced)...</t>
  </si>
  <si>
    <t>... Nomenclature/Cortec" &amp; "K ECORTEC".</t>
  </si>
  <si>
    <t>After 1/10/97 issues controlled by Model Detail updates</t>
  </si>
  <si>
    <t>"K Range Series 2" RATING OPTIONS</t>
  </si>
  <si>
    <t>RETURN TO :</t>
  </si>
  <si>
    <t>MODEL</t>
  </si>
  <si>
    <t>MODEL RANGE :</t>
  </si>
  <si>
    <t>D/S :</t>
  </si>
  <si>
    <t>ISSUE :</t>
  </si>
  <si>
    <t>TYPE :</t>
  </si>
  <si>
    <t>MIDOS</t>
  </si>
  <si>
    <t>MODEL NUMBER :</t>
  </si>
  <si>
    <t>PRODUCT GROUP</t>
  </si>
  <si>
    <t>MODEL SKELETON :</t>
  </si>
  <si>
    <t>FROM</t>
  </si>
  <si>
    <t>TO</t>
  </si>
  <si>
    <t>CODE</t>
  </si>
  <si>
    <t>Issue : 076 - As at 5/7/06 - Lookup table for Hex Files changed following discovery that all were being quoted as brginning ": 18KCEG102…" in error.</t>
  </si>
  <si>
    <t>DESCRIPTION</t>
  </si>
  <si>
    <t>VALUE</t>
  </si>
  <si>
    <t>UNIT</t>
  </si>
  <si>
    <t>VOLTAGE RATING (VN)</t>
  </si>
  <si>
    <t>VAC</t>
  </si>
  <si>
    <t>AUX. SUPPLY NOMINAL(VX)</t>
  </si>
  <si>
    <t>VOLTS</t>
  </si>
  <si>
    <t>AUX. SUPPLY OPERATIVE(VX)</t>
  </si>
  <si>
    <t>VDC</t>
  </si>
  <si>
    <t>LANGUAGE</t>
  </si>
  <si>
    <t>FREQUENCY</t>
  </si>
  <si>
    <t>HZ</t>
  </si>
  <si>
    <t>SETTING FILE VERSION</t>
  </si>
  <si>
    <t>Case Assy</t>
  </si>
  <si>
    <t>Outline Wrapper</t>
  </si>
  <si>
    <t>Reset Assy</t>
  </si>
  <si>
    <t>Wiring/Circuit Diagram</t>
  </si>
  <si>
    <t>Ext. Wiring/Connection Diagram</t>
  </si>
  <si>
    <t>Customer Diagram</t>
  </si>
  <si>
    <t>Mounting Sketch</t>
  </si>
  <si>
    <t xml:space="preserve">: </t>
  </si>
  <si>
    <t>Wiring Schedule</t>
  </si>
  <si>
    <t>Test Specification</t>
  </si>
  <si>
    <t>Outline Ext. Components</t>
  </si>
  <si>
    <t>Special Instructions</t>
  </si>
  <si>
    <t>Material List</t>
  </si>
  <si>
    <t>Drg</t>
  </si>
  <si>
    <t>Variables</t>
  </si>
  <si>
    <t>Design</t>
  </si>
  <si>
    <t>Description</t>
  </si>
  <si>
    <t>Drawing Number</t>
  </si>
  <si>
    <t>Ref</t>
  </si>
  <si>
    <t>Drg. Number</t>
  </si>
  <si>
    <t>Suffix</t>
  </si>
  <si>
    <t>Quantity</t>
  </si>
  <si>
    <t>Case Assembly</t>
  </si>
  <si>
    <t>Terminal Block 'A'</t>
  </si>
  <si>
    <t>GJ0014313</t>
  </si>
  <si>
    <t>Bagged Terminals</t>
  </si>
  <si>
    <t>ZA0005061</t>
  </si>
  <si>
    <t>Bagged Fixings</t>
  </si>
  <si>
    <t>Comms Tab Pack</t>
  </si>
  <si>
    <t>ZA0005092</t>
  </si>
  <si>
    <t>Final Assembly Parts</t>
  </si>
  <si>
    <t>Nameplate</t>
  </si>
  <si>
    <t>Combination Label</t>
  </si>
  <si>
    <t>Processor PCB</t>
  </si>
  <si>
    <t>Power Supply PCB</t>
  </si>
  <si>
    <t>User Interface PCB</t>
  </si>
  <si>
    <t>Interconnect PCB</t>
  </si>
  <si>
    <t>Backplane PCB</t>
  </si>
  <si>
    <t>Cable Tie</t>
  </si>
  <si>
    <t>ZB9118405</t>
  </si>
  <si>
    <t>EPROM</t>
  </si>
  <si>
    <t>N.B. All issues shown in "black" below precede production orders, those in "red/bold" post-date release</t>
  </si>
  <si>
    <t>Issue : 001 - As at 27/5/97</t>
  </si>
  <si>
    <t>Issue : 002 - As at 18/6/97</t>
  </si>
  <si>
    <t>Issue : 003 - As at 20/6/97 - Allowing for 110 - 440 Vac Rating and correcting Measuring Element Configuration</t>
  </si>
  <si>
    <t>Issue : 004 - As at 2/7/97 - Re-written to move data from Ratings to Textual Descriptions using more Common Models</t>
  </si>
  <si>
    <t>Issue : 005 - As at 2/7/97 - Re-allocating Drawing References in line with CDN</t>
  </si>
  <si>
    <t>Issue : 006 - As at 8/7/97 - Re-compiling Lookup Tables for 440V Aux and KCEG152</t>
  </si>
  <si>
    <t>Issue : 007 - As at 16/7/97 - Adding Zero Volts to (VN) for KCGG Models and Ratings for Software, also Comms Tab Packs</t>
  </si>
  <si>
    <t>Issue : 008 - As at 25/7/97 - Adding Setting File Ref to rating details</t>
  </si>
  <si>
    <t>Issue : 009 - As at 1/8/97 - Amending Rating Details to show both ac &amp; dc Operative ranges</t>
  </si>
  <si>
    <t>Issue : 010 - As at 7/8/97 - Amending Product Groups</t>
  </si>
  <si>
    <t>Issue : 011 - As at 11/8/97 - Amending E/F Ratings from "1"&amp; "5" "AMP" to "0.800" &amp; "3.200" "X..IN"</t>
  </si>
  <si>
    <t>Issue : 012 - As at 14/8/97 - Amending E/F Ratings from "0.800" &amp; "3.200" "X..IN" to "0" &amp; "STD" or "SPEC"</t>
  </si>
  <si>
    <t>Issue : 013 - As at 3/9/97 - Amending document header from 'ENHANCED "K" RATING OPTIONS' &amp; description from "K-SERIES RELAY".</t>
  </si>
  <si>
    <t>KCGG142XXD</t>
  </si>
  <si>
    <t>KCGG142XXE</t>
  </si>
  <si>
    <t>KCGG142XXF</t>
  </si>
  <si>
    <t>Issue : 014 - As at 5/10/97 - Removing Portuguese, Quebecois &amp; American English language variants from Nomenclature Sheet ...</t>
  </si>
  <si>
    <t xml:space="preserve">      ... and adding to Lookup to provide for Nameplate language variants</t>
  </si>
  <si>
    <t>Issue : 015 - As at 3/11/97 - Exchanging Trays 1 &amp; 2 for ZC0411013/014 or ZC0411015/016</t>
  </si>
  <si>
    <t>Issue : 016 - As at 11/11/97 - Adding Data &amp; References to Lookup for KVGC</t>
  </si>
  <si>
    <t xml:space="preserve">Issue : 017 - As at 2/12/97 - Defining Language variants for Size 4 cased models </t>
  </si>
  <si>
    <t>Issue : 018 - As at 15/12/97 - Design Suffix for KCEG*42 Models only, now "B"</t>
  </si>
  <si>
    <t>Issue : 019 - As at 20/1/98 - Adding Language Variants Nameplates and removing "Not yet available" from German &amp; Spanish versions</t>
  </si>
  <si>
    <t>Issue : 020 - As at 22/1/98 - Adding KVFG to Nomenclature but awaiting Model Detail data.</t>
  </si>
  <si>
    <t>Issue : 021 - As at 22/1/98 - Adding KVFG Model Detail data.</t>
  </si>
  <si>
    <t>Issue : 022 - As at 23/1/98 - Changing Customer Diagrams from : 08K******00 to : 08K******01 per B.T.Smith &amp; A.Hill</t>
  </si>
  <si>
    <t>Issue : 023 - As at 28/1/98 - Adding Auxiliary PCB to "Lookup" Data and calling up on KVFG142's only</t>
  </si>
  <si>
    <t>Issue : 024 - As at 29/1/98 - Correcting New Cortec (was Issue "J", now "K") relative to KVFG Models, adding Product Group for KVFG's</t>
  </si>
  <si>
    <t>Issue : 025 - As at 13/3/98 - Correcting Tray " for KCEG24201H91FEB from ZC0411016.</t>
  </si>
  <si>
    <t>Issue : 026 - As at 16/3/98 - Adding rules for Terminal Block 'A' (GJ0014098 for KVFG only, otherwise GJ0014047).</t>
  </si>
  <si>
    <t>Issue : 027 - As at 18/3/98 - Amending rules for Dual powered variants to eliminate options including U.S.A. style C.T's. ...</t>
  </si>
  <si>
    <t>... (0.005xIn to 3.2xIn for Earth Faults)</t>
  </si>
  <si>
    <t>Issue : 028 - As at 19/3/98 - Adding language variants for KVGC and KVFG and amending Test Instructions for KVFG.</t>
  </si>
  <si>
    <t>Issue : 029 - As at 20/4/98 - Amending Terminal Block 'B' on size 6 variants only to ... 'C', for size 8 variants to ... 'D'.</t>
  </si>
  <si>
    <t>Issue : 030 - As at 23/4/98 - Adding Eprom and Software reference hex file</t>
  </si>
  <si>
    <t>Issue : 031 - As at 27/4/98 - PCBs changed: ZJ0399006 to ZJ0407006; ZJ0284001 to ZJ0284002.  ENR 6357</t>
  </si>
  <si>
    <t>Issue : 032 - As at 11/5/98 - Phase CT used as E/F CT option removed from KCEG112 variants.</t>
  </si>
  <si>
    <t>Issue : 033 - As at 15/7/98 - Backplane for ALL Size 4's was ZJ0284002 in error.</t>
  </si>
  <si>
    <t>Issue : 034 - As at 3/8/98 - EPROM ZB9598054 was suppressed(i.e. " "), table of "S/W REF HEX FILE" were "????" for all models with "V" as second ...</t>
  </si>
  <si>
    <t xml:space="preserve">      ... letter, Test Specs for KVFG were ": 07K???", Software Refs were "????".</t>
  </si>
  <si>
    <t>Issue : 035 - As at 17/08/98 - EPROM ZB9598054 changed to part 056 for KVFG</t>
  </si>
  <si>
    <t>Issue : 036 - As at 09/09/98 - Processor Board for KCGG122 American/ANSI variants was ZJ0386003.</t>
  </si>
  <si>
    <t>Issue : 037 - As at 17/09/98 - Complete re-write incorporating KCEG112/152, KCEU142/242.</t>
  </si>
  <si>
    <t>Issue : 038 - As at 22/09/98 - Nomenclature sheet "C.T. Rating : ?? Hz" were all 50/60Hz, Auxiliary Voltage (Vx) - word "Nominal" removed from header.</t>
  </si>
  <si>
    <t>Issue : 039 - As at 27/10/98 - Sensitive option removed from KCEG14.</t>
  </si>
  <si>
    <t>Issue : 040 - As at 11/11/98 - Adding KCGG141, KCGG142, KCGG241 &amp; KCGG341 variants (Aux Setting Instruction still undetermined).</t>
  </si>
  <si>
    <t>Issue : 041 - As at 30/11/98 - Adding KCGG332 - Temporary variant specially for WAPDA &amp; adding Aux Setting &amp; Test Instructions.</t>
  </si>
  <si>
    <t>Issue : 042 - As at 03/12/98 - Correcting omissions of various Variable parts for KCEU142.</t>
  </si>
  <si>
    <t>Issue : 043 - As at 07/12/98 - Correcting case assembly for KCGG241/332/341; was GJ0035007 in error.</t>
  </si>
  <si>
    <t>Issue : 044 - As at 08/12/98 - Correcting case assembly for KCGG241/332/341; was GJ0035020 in error.</t>
  </si>
  <si>
    <t>Issue : 045 - As at 14/12/98 - ZJ0392005 removed from KVFG122 as per ENR 6517.</t>
  </si>
  <si>
    <t>Issue : 069 - As at 17/11/00 - 1A/5A "Special" CT variants of KCGG242** removed from available options (never was possible!).</t>
  </si>
  <si>
    <t>Issue : 046 - As at 08/01/99 - KCEU142 Combination label GJ9138131(50Hz) changed to part 117 (50/60Hz)</t>
  </si>
  <si>
    <t>Issue : 047 - As at 21/01/99 - KCEG152-----P-- amended to call up Processor PCB ZJ0407007, S/W Ref KCEG103XXE, &amp; EPROM ZB9058056 (ENR6536)</t>
  </si>
  <si>
    <t xml:space="preserve">Issue : 048 - As at 29/01/99 - All KCEG112 &amp; KCEG152 sensitive - to call up Processor PCB ZJ0407007, S/W Ref KCEG103XXE, &amp; EPROM ZB9058056.  </t>
  </si>
  <si>
    <t>... Ref Paul Grantham.</t>
  </si>
  <si>
    <t>Issue : 049 - As at 8/2/98 - Table providing circuit diagrams &amp; test spec corrected.</t>
  </si>
  <si>
    <t>Issue : 050 - As at 10/03/99 - Ext. Wiring/Connection Diagram for KCGG141 was 10KCGG14100, now removed from table.  CDN R3268.</t>
  </si>
  <si>
    <t>Issue : 051 - As at 21/04/99 - Addition of KCGG14203... variants, and KCEG24204... variants.</t>
  </si>
  <si>
    <t>Issue : 052 - As at 24/05/99 - Correction of Drg. Refs. 54, 55 &amp; 56 for KCGG3... variants effective 9/1/99 to show metric fasteners; previously imperial.</t>
  </si>
  <si>
    <t>Issue : 053 - As at 26/05/99 - Addition of several, previously incomplete, tray assemblies for KCEG variants.</t>
  </si>
  <si>
    <t>Issue : 054 - As at 11/06/99 - Correction of table for Case,Reset,Outline Wrapper,Nameplate for KVFG122 &amp; KVGC102: key end digits were "C".</t>
  </si>
  <si>
    <t>Issue : 055 - As at 11/11/99 - Power supply board updated to issue B; ALL users of this updated a model issue. (R3259-01)</t>
  </si>
  <si>
    <t>Key</t>
  </si>
  <si>
    <t>Digit 2</t>
  </si>
  <si>
    <t>Choose ONE of ...</t>
  </si>
  <si>
    <t>Overcurrent and/or Earth Fault</t>
  </si>
  <si>
    <t>Voltage Regulating</t>
  </si>
  <si>
    <t>Voltage &amp; Frequency</t>
  </si>
  <si>
    <t>Digit 3</t>
  </si>
  <si>
    <t>Non-Directional - K*G************</t>
  </si>
  <si>
    <t>KVFG***********</t>
  </si>
  <si>
    <t>Measurement Source Key</t>
  </si>
  <si>
    <t>(No name)</t>
  </si>
  <si>
    <t>Directional - KCE************</t>
  </si>
  <si>
    <t xml:space="preserve"> </t>
  </si>
  <si>
    <t>Characteristics Key</t>
  </si>
  <si>
    <t>Combined Key</t>
  </si>
  <si>
    <t>Digit 4</t>
  </si>
  <si>
    <t>Control - KVGC***********</t>
  </si>
  <si>
    <t>General -KVFG</t>
  </si>
  <si>
    <t>General - KC*G***********</t>
  </si>
  <si>
    <t>Applications Key</t>
  </si>
  <si>
    <t>ZJ0407002</t>
  </si>
  <si>
    <t>ZJ0407005</t>
  </si>
  <si>
    <t>General with Wattmetric &amp; Thermal Protection - KCEU***********</t>
  </si>
  <si>
    <t>Digit 5</t>
  </si>
  <si>
    <t>****</t>
  </si>
  <si>
    <t>KCEG</t>
  </si>
  <si>
    <t>KCEU</t>
  </si>
  <si>
    <t>KCGG</t>
  </si>
  <si>
    <t>KVFG</t>
  </si>
  <si>
    <t>KVGC</t>
  </si>
  <si>
    <t>Power Source Key</t>
  </si>
  <si>
    <t>1</t>
  </si>
  <si>
    <t>2</t>
  </si>
  <si>
    <t>3</t>
  </si>
  <si>
    <t>Digit 6</t>
  </si>
  <si>
    <t>KCEG1</t>
  </si>
  <si>
    <t>KCEG2</t>
  </si>
  <si>
    <t>KCGG1</t>
  </si>
  <si>
    <t>KCGG2</t>
  </si>
  <si>
    <t>KCGG3</t>
  </si>
  <si>
    <t>KVFG1</t>
  </si>
  <si>
    <t>KVGC1</t>
  </si>
  <si>
    <t>Measuring Elements Key</t>
  </si>
  <si>
    <t>Make selections in sequence please.</t>
  </si>
  <si>
    <t>Directional E/F</t>
  </si>
  <si>
    <t>(3 Phase O/C) + (E/F)</t>
  </si>
  <si>
    <t>(1 Phase O/C) + (E/F)</t>
  </si>
  <si>
    <t>(3 Phase O/C) + (E/F) NOT for WAPDA</t>
  </si>
  <si>
    <t>(3 Phase O/C) + (E/F) ONLY for WAPDA</t>
  </si>
  <si>
    <t>(3 x O/C) + (Directional  E/F)</t>
  </si>
  <si>
    <t>4</t>
  </si>
  <si>
    <t>0</t>
  </si>
  <si>
    <t>5</t>
  </si>
  <si>
    <t>Mark(Application)</t>
  </si>
  <si>
    <t>Digit 7</t>
  </si>
  <si>
    <t>Case / Operating Frequency</t>
  </si>
  <si>
    <t>K****</t>
  </si>
  <si>
    <t>KCEG11</t>
  </si>
  <si>
    <t>KCEG14</t>
  </si>
  <si>
    <t>KCEG15</t>
  </si>
  <si>
    <t>KCEG24</t>
  </si>
  <si>
    <t>KCEU14</t>
  </si>
  <si>
    <t>KCEU24</t>
  </si>
  <si>
    <t>KCGG12</t>
  </si>
  <si>
    <t>KCGG14</t>
  </si>
  <si>
    <t>KCGG15</t>
  </si>
  <si>
    <t>KCGG24</t>
  </si>
  <si>
    <t>KCGG34</t>
  </si>
  <si>
    <t>KVFG12</t>
  </si>
  <si>
    <t>KVGC10</t>
  </si>
  <si>
    <t>?</t>
  </si>
  <si>
    <t>6</t>
  </si>
  <si>
    <t>8</t>
  </si>
  <si>
    <t>?? Hz</t>
  </si>
  <si>
    <t>50/60 Hz</t>
  </si>
  <si>
    <t>50 Hz</t>
  </si>
  <si>
    <t>Digits 8 &amp; 9</t>
  </si>
  <si>
    <r>
      <t xml:space="preserve">Aux. Voltage Rating </t>
    </r>
    <r>
      <rPr>
        <b/>
        <sz val="11"/>
        <rFont val="Arial"/>
        <family val="0"/>
      </rPr>
      <t>(</t>
    </r>
    <r>
      <rPr>
        <b/>
        <sz val="11"/>
        <color indexed="8"/>
        <rFont val="Arial"/>
        <family val="2"/>
      </rPr>
      <t>Vx</t>
    </r>
    <r>
      <rPr>
        <b/>
        <sz val="11"/>
        <rFont val="Arial"/>
        <family val="0"/>
      </rPr>
      <t>)</t>
    </r>
  </si>
  <si>
    <t>Digit 11</t>
  </si>
  <si>
    <t>(NOMINAL =100 - 250V) (OPERATIVE = 60 - 300Vdc or 60 - 265Vac)</t>
  </si>
  <si>
    <t>(NOMINAL = 24 - 125V) (OPERATIVE = 19 - 150Vdc or 50 - 133Vac)</t>
  </si>
  <si>
    <t>(NOMINAL = 48 - 250V) (OPERATIVE = 33 - 300Vdc or 87 - 265Vac)</t>
  </si>
  <si>
    <t>9</t>
  </si>
  <si>
    <t>Digit 12</t>
  </si>
  <si>
    <t>K***</t>
  </si>
  <si>
    <t>Operating Voltage Key</t>
  </si>
  <si>
    <t>110Vac / 50Hz</t>
  </si>
  <si>
    <t>Zero Vac /50 - 60Hz</t>
  </si>
  <si>
    <t>110Vac / 50 - 60Hz</t>
  </si>
  <si>
    <t>440Vac / 50 - 60Hz</t>
  </si>
  <si>
    <t>C.T.Rating: 50/60Hz</t>
  </si>
  <si>
    <t>Digit 13</t>
  </si>
  <si>
    <t>KCGG33</t>
  </si>
  <si>
    <t>C.T. Rating Key</t>
  </si>
  <si>
    <t>Selection NOT applicable</t>
  </si>
  <si>
    <t>Issue : 075 - As at 17/10/05 - Design Suffix lookup table corrected.</t>
  </si>
  <si>
    <t>1 Amp &amp; 5 Amp Software Selectable</t>
  </si>
  <si>
    <t>1 Amp C.T. (0.005xIn to 0.8xIn for Earth Faults) - 'STANDARD'</t>
  </si>
  <si>
    <t>1 Amp C.T. (0.001xIn to 0.16xIn for Earth Faults) - 'SENSITIVE'</t>
  </si>
  <si>
    <t>1 Amp C.T. (0.02xIn to 3.2xIn for Earth Faults) - 'SPECIAL'</t>
  </si>
  <si>
    <t>5 Amp C.T. (0.005xIn to 0.8xIn for Earth Faults) - 'STANDARD'</t>
  </si>
  <si>
    <t>5 Amp C.T. (0.001xIn to 0.16xIn for Earth Faults) - 'SENSITIVE'</t>
  </si>
  <si>
    <t>Issue : 068 - As at 24/10/00 - Design Suffices for KCEG112xxxxxC/D/E/Fx variants was "B", KCEG142xxxxxC/D/E/Fx was "C", KCEG152xxxxxC/D/E/Fx was "B"…</t>
  </si>
  <si>
    <t xml:space="preserve">... KCEG242xxxxxC/D/E/Fx was"C", KCGG122xxxxxC/D/E/Fx was"B", </t>
  </si>
  <si>
    <t>5 Amp Phase C.T's./ 1 Amp 'SENSITIVE' Earth Fault C.T.</t>
  </si>
  <si>
    <t>5 Amp C.T. (0.02xIn to 3.2xIn for Earth Faults) - 'SPECIAL'</t>
  </si>
  <si>
    <t>Digit 14</t>
  </si>
  <si>
    <t>Descriptive Text</t>
  </si>
  <si>
    <t>Keys - Digits 1,2,3,4,5,6,7 &amp; 13</t>
  </si>
  <si>
    <t>K******</t>
  </si>
  <si>
    <t>K RANGE SERIES 2 RELAY</t>
  </si>
  <si>
    <t xml:space="preserve"> NOT YET SPECIFIED</t>
  </si>
  <si>
    <t>KCEG11C</t>
  </si>
  <si>
    <t>AUXILIARY POWERED</t>
  </si>
  <si>
    <t>DIRECTIONAL EARTH FAULT FOR GENERAL APPLICATIONS</t>
  </si>
  <si>
    <t>KCEG14C</t>
  </si>
  <si>
    <t>AUXILIARY POWERED THREE PHASE DIRECTIONAL OVERCURRENT PLUS</t>
  </si>
  <si>
    <t>KCEG15C</t>
  </si>
  <si>
    <t xml:space="preserve">THREE PHASE OVERCURRENT PLUS DIRECTIONAL EARTH FAULT FOR </t>
  </si>
  <si>
    <t>GENERAL APPLICATIONS</t>
  </si>
  <si>
    <t>KCEG15P</t>
  </si>
  <si>
    <t xml:space="preserve">AUXILIARY POWERED THREE PHASE OVERCURRENT PLUS </t>
  </si>
  <si>
    <t xml:space="preserve">DIRECTIONAL EARTH FAULT FOR GENERAL APPLICATIONS </t>
  </si>
  <si>
    <t xml:space="preserve">DUAL RATED INPUTS (5A FOR PHASE; 1A FOR EARTH) </t>
  </si>
  <si>
    <t>KCEG24C</t>
  </si>
  <si>
    <t>DUAL POWERED THREE PHASE DIRECTIONAL OVERCURRENT PLUS</t>
  </si>
  <si>
    <t>KCEU14C</t>
  </si>
  <si>
    <t xml:space="preserve">AUXILIARY POWERED DIRECTIONAL PHASE OVERCURRENT </t>
  </si>
  <si>
    <t>AND WATTMETRIC EARTH FAULT PROTECTION</t>
  </si>
  <si>
    <t>WITH THERMAL PROTECTION</t>
  </si>
  <si>
    <t>KCEU14P</t>
  </si>
  <si>
    <t>AND WATTMETRIC EARTH FAULT PROTECTION RELAY</t>
  </si>
  <si>
    <t>AND DUAL RATED INPUTS (5A FOR PHASE; 1A FOR EARTH)</t>
  </si>
  <si>
    <t>KCEU24C</t>
  </si>
  <si>
    <t xml:space="preserve">DUAL POWERED DIRECTIONAL PHASE OVERCURRENT </t>
  </si>
  <si>
    <t>KCGG12C</t>
  </si>
  <si>
    <t>AUXILIARY POWERED SINGLE PHASE OVERCURRENT PLUS EARTH FAULT</t>
  </si>
  <si>
    <t>FOR GENERAL APPLICATIONS</t>
  </si>
  <si>
    <t>KCGG14C</t>
  </si>
  <si>
    <t>AUXILIARY POWERED THREE PHASE OVERCURRENT PLUS EARTH FAULT</t>
  </si>
  <si>
    <t>KCGG24C</t>
  </si>
  <si>
    <t>DUAL POWERED THREE PHASE OVERCURRENT PLUS EARTH FAULT</t>
  </si>
  <si>
    <t>WITH 3 INPUTS &amp; 4 OUTPUTS - PRE-CONFIGURED WITH SIMPLIFIED FUNCTIONALITY</t>
  </si>
  <si>
    <t>KCGG33C</t>
  </si>
  <si>
    <t>FOR AC SERIES TRIPPING APPLICATIONS FOR WAPDA</t>
  </si>
  <si>
    <t>KCGG34C</t>
  </si>
  <si>
    <t>FOR AC SERIES TRIPPING APPLICATIONS</t>
  </si>
  <si>
    <t>KVFG12A</t>
  </si>
  <si>
    <t xml:space="preserve">K RANGE SERIES 2 RELAY - 2 POLE VOLTAGE AND FREQUENCY </t>
  </si>
  <si>
    <t>PROVIDES PHASE TO PHASE VOLTAGE PROTECTION, OR NEUTRAL</t>
  </si>
  <si>
    <t>DISPLACEMENT AND PHASE TO PHASE OR PHASE TO NEUTRAL VOLTAGE</t>
  </si>
  <si>
    <t>K*******</t>
  </si>
  <si>
    <t>KCEU142L</t>
  </si>
  <si>
    <t>KCEU242L</t>
  </si>
  <si>
    <t>KCGG341C</t>
  </si>
  <si>
    <t>KCGG332E</t>
  </si>
  <si>
    <t>CONNECTIONS. ALSO INCLUDES FREQUENCY PROTECTION AND NEGATIVE</t>
  </si>
  <si>
    <t>SEQUENCE OVERVOLTAGE.</t>
  </si>
  <si>
    <t>KVFG14A</t>
  </si>
  <si>
    <t xml:space="preserve">K RANGE SERIES 2 RELAY - 4 POLE VOLTAGE AND FREQUENCY </t>
  </si>
  <si>
    <t>PROVIDES 3 PHASE VOLTAGE PROTECTION AND NEUTRAL DISPLACEMENT</t>
  </si>
  <si>
    <t>OR RESIDUAL OVERVOLTAGE PROTECTION. ALSO INCLUDES FREQUENCY</t>
  </si>
  <si>
    <t>PROTECTION AND NEGATIVE SEQUENCE OVERVOLTAGE.</t>
  </si>
  <si>
    <t>KVGC10G</t>
  </si>
  <si>
    <t>VOLTAGE REGULATING (TAP CHANGER) FOR CONTROL APPLICATIONS.</t>
  </si>
  <si>
    <t>Rating Details</t>
  </si>
  <si>
    <t>VOLTAGE RATING (VN) Key = Nomenclature M5</t>
  </si>
  <si>
    <t>AUX. SUPPLY NOMINAL(VX) Key = Nomenclature L5</t>
  </si>
  <si>
    <t>AUX. SUPPLY OPERATIVE(VX) Key = Nomenclature L5</t>
  </si>
  <si>
    <t>LANGUAGE Key = Nomenclature O5</t>
  </si>
  <si>
    <t>ENG</t>
  </si>
  <si>
    <t>FRANC</t>
  </si>
  <si>
    <t>DEUTCH</t>
  </si>
  <si>
    <t>ESPAG</t>
  </si>
  <si>
    <t>T</t>
  </si>
  <si>
    <t>J</t>
  </si>
  <si>
    <t>I</t>
  </si>
  <si>
    <t>Issue : 074 - As at 09/06/04 - S/W REF HEX File data now includes suffix, where available. CDN R4379.</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</si>
  <si>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</si>
  <si>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</si>
  <si>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</si>
  <si>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SETTING FILE VERSION Key = Nomenclature I5 &amp; J5</t>
  </si>
  <si>
    <t>***</t>
  </si>
  <si>
    <t>101</t>
  </si>
  <si>
    <t>1XX</t>
  </si>
  <si>
    <t>201</t>
  </si>
  <si>
    <t>202</t>
  </si>
  <si>
    <t>2XX</t>
  </si>
  <si>
    <t>??</t>
  </si>
  <si>
    <t>SIMPLE</t>
  </si>
  <si>
    <t>CUST</t>
  </si>
  <si>
    <t>DEF/T</t>
  </si>
  <si>
    <t>FUNCT</t>
  </si>
  <si>
    <t>Design Suffix</t>
  </si>
  <si>
    <t>Model Type Key</t>
  </si>
  <si>
    <t>B</t>
  </si>
  <si>
    <t>Diagrams</t>
  </si>
  <si>
    <t>Test Spec</t>
  </si>
  <si>
    <t>Software Reference Hex file</t>
  </si>
  <si>
    <t>KCGG122</t>
  </si>
  <si>
    <t>: 20KCGG12201</t>
  </si>
  <si>
    <t>: 08KCGG12201</t>
  </si>
  <si>
    <t>: 02KCGG12201</t>
  </si>
  <si>
    <t>: 10KCGG12200 &amp; 01</t>
  </si>
  <si>
    <t>: 07KCEG142</t>
  </si>
  <si>
    <t>GJ0014047</t>
  </si>
  <si>
    <t>KCGG141</t>
  </si>
  <si>
    <t>: 20KCGG14101</t>
  </si>
  <si>
    <t>: 08KCGG14101</t>
  </si>
  <si>
    <t>: 02KCGG14101</t>
  </si>
  <si>
    <t>: 07KCGG341</t>
  </si>
  <si>
    <t>KCGG142 - Reduced Input/Output</t>
  </si>
  <si>
    <t>: 20KCGG14202</t>
  </si>
  <si>
    <t>: 08KCGG14202</t>
  </si>
  <si>
    <t>: 02KCGG14202</t>
  </si>
  <si>
    <t>: 10KCGG14202</t>
  </si>
  <si>
    <t>KCGG142 - Standard</t>
  </si>
  <si>
    <t>: 20KCGG14201</t>
  </si>
  <si>
    <t>: 08KCGG14201</t>
  </si>
  <si>
    <t>: 02KCGG14201</t>
  </si>
  <si>
    <t>: 10KCGG14200 &amp; 01</t>
  </si>
  <si>
    <t>KCGG142 - Standard with "03" Configuration</t>
  </si>
  <si>
    <t>KCGG241</t>
  </si>
  <si>
    <t>: 20KCGG24101</t>
  </si>
  <si>
    <t>: 08KCGG24101</t>
  </si>
  <si>
    <t>: 02KCGG24101</t>
  </si>
  <si>
    <t>: 10KCGG24101</t>
  </si>
  <si>
    <t>KCGG332</t>
  </si>
  <si>
    <t>: 20KCGG34101</t>
  </si>
  <si>
    <t>: 08KCGG33201</t>
  </si>
  <si>
    <t>: 02KCGG34101</t>
  </si>
  <si>
    <t>: 10KCGG33201</t>
  </si>
  <si>
    <t>KCGG341</t>
  </si>
  <si>
    <t>: 08KCGG34101</t>
  </si>
  <si>
    <t>: 10KCGG34100</t>
  </si>
  <si>
    <t>KCEG112</t>
  </si>
  <si>
    <t>: 20KCEG11201</t>
  </si>
  <si>
    <t>: 08KCEG11201</t>
  </si>
  <si>
    <t>: 02KCEG11201</t>
  </si>
  <si>
    <t>: 10KCEG11200 &amp; 01</t>
  </si>
  <si>
    <t>KCEG112 Sensitive</t>
  </si>
  <si>
    <t>KCEG142</t>
  </si>
  <si>
    <t>: 20KCEG14201</t>
  </si>
  <si>
    <t>: 08KCEG14201</t>
  </si>
  <si>
    <t>: 02KCEG14201</t>
  </si>
  <si>
    <t>: 10KCEG14200 &amp; 01</t>
  </si>
  <si>
    <t>KCEG152</t>
  </si>
  <si>
    <t>: 20KCEG15201</t>
  </si>
  <si>
    <t>: 08KCEG15201</t>
  </si>
  <si>
    <t>: 02KCEG15201</t>
  </si>
  <si>
    <t>: 10KCEG15200 &amp; 01</t>
  </si>
  <si>
    <t>KCEG152 Sensitive</t>
  </si>
  <si>
    <t>KCEG242</t>
  </si>
  <si>
    <t>: 20KCEG24201</t>
  </si>
  <si>
    <t>: 08KCEG24201</t>
  </si>
  <si>
    <t>: 02KCEG24201</t>
  </si>
  <si>
    <t>: 10KCEG24200 &amp; 01</t>
  </si>
  <si>
    <t xml:space="preserve">KCEG242 - </t>
  </si>
  <si>
    <t>KCEU142</t>
  </si>
  <si>
    <t>: 20KCEU14201</t>
  </si>
  <si>
    <t>: 08KCEU14201</t>
  </si>
  <si>
    <t>: 02KCEU14201</t>
  </si>
  <si>
    <t>: 10KCEU14200 &amp; 01</t>
  </si>
  <si>
    <t>: 07KCEU142</t>
  </si>
  <si>
    <t>KCEU242</t>
  </si>
  <si>
    <t>: 20KCEU24201</t>
  </si>
  <si>
    <t>: 08KCEU24201</t>
  </si>
  <si>
    <t>: 02KCEU24201</t>
  </si>
  <si>
    <t>: 10KCEU24200 &amp; 01</t>
  </si>
  <si>
    <t>KVFG122</t>
  </si>
  <si>
    <t>: 20KVFG12201</t>
  </si>
  <si>
    <t>: 08KVFG12201</t>
  </si>
  <si>
    <t>: 02KVFG12201</t>
  </si>
  <si>
    <t>: 10KVFG12200 &amp; 01</t>
  </si>
  <si>
    <t>: 07KVFG122</t>
  </si>
  <si>
    <t>GJ0014098</t>
  </si>
  <si>
    <t>KVFG142</t>
  </si>
  <si>
    <t>: 20KVFG14201</t>
  </si>
  <si>
    <t>: 08KVFG14201</t>
  </si>
  <si>
    <t>: 02KVFG14201</t>
  </si>
  <si>
    <t>: 10KVFG14200 &amp; 01</t>
  </si>
  <si>
    <t>: 07KVFG142</t>
  </si>
  <si>
    <t>KVGC102</t>
  </si>
  <si>
    <t>: 20KVGC10201</t>
  </si>
  <si>
    <t>: 08KVGC10201</t>
  </si>
  <si>
    <t>: 02KVGC10201</t>
  </si>
  <si>
    <t>: 10KVGC10200 &amp; 01</t>
  </si>
  <si>
    <t>: 07KVGC102</t>
  </si>
  <si>
    <t>Final Assembly</t>
  </si>
  <si>
    <t>Module</t>
  </si>
  <si>
    <t>Reset Assembly</t>
  </si>
  <si>
    <t>2nd Terminal Block '?'</t>
  </si>
  <si>
    <t>KCEG112C</t>
  </si>
  <si>
    <t>: GJ0025 SHT 3</t>
  </si>
  <si>
    <t>KCEG112L</t>
  </si>
  <si>
    <t>ZB9598056</t>
  </si>
  <si>
    <t>KCEG142C</t>
  </si>
  <si>
    <t>: GJ0025 SHT 4</t>
  </si>
  <si>
    <t>KCEG152C</t>
  </si>
  <si>
    <t>KCEG152L</t>
  </si>
  <si>
    <t>KCEG242C</t>
  </si>
  <si>
    <t>: GJ0025 SHT 5</t>
  </si>
  <si>
    <t>KCEU142C</t>
  </si>
  <si>
    <t>KCEU242C</t>
  </si>
  <si>
    <t>KCGG122C</t>
  </si>
  <si>
    <t>KCGG141C</t>
  </si>
  <si>
    <t>KCGG142C</t>
  </si>
  <si>
    <t>KCGG241C</t>
  </si>
  <si>
    <t>KCGG332C</t>
  </si>
  <si>
    <t>KVFG122A</t>
  </si>
  <si>
    <t>KVFG142A</t>
  </si>
  <si>
    <t>KVGC102G</t>
  </si>
  <si>
    <t>Label Type Ref / Product Group</t>
  </si>
  <si>
    <t>Keys</t>
  </si>
  <si>
    <t>Label</t>
  </si>
  <si>
    <t>Product Group</t>
  </si>
  <si>
    <t>Column Ref</t>
  </si>
  <si>
    <t>GJ9120171</t>
  </si>
  <si>
    <t>KCGG141 or KCGG142 with "Reduced Input/Output"</t>
  </si>
  <si>
    <t>109???</t>
  </si>
  <si>
    <t>KCGG142</t>
  </si>
  <si>
    <t>GJ9120172</t>
  </si>
  <si>
    <t>GJ9120190</t>
  </si>
  <si>
    <t>GJ9120192</t>
  </si>
  <si>
    <t>GJ9120191</t>
  </si>
  <si>
    <t>GJ9120173</t>
  </si>
  <si>
    <t>GJ9120174</t>
  </si>
  <si>
    <t>KCEG143</t>
  </si>
  <si>
    <t>GJ9120???</t>
  </si>
  <si>
    <t>GJ9120175</t>
  </si>
  <si>
    <t>KCEG241</t>
  </si>
  <si>
    <t>GJ9120176</t>
  </si>
  <si>
    <t>GJ9120177</t>
  </si>
  <si>
    <t>GJ9120187</t>
  </si>
  <si>
    <t>GJ9120188</t>
  </si>
  <si>
    <t>GJ9120183</t>
  </si>
  <si>
    <t>GJ9120184</t>
  </si>
  <si>
    <t>GJ9120179</t>
  </si>
  <si>
    <t>Auxiliary</t>
  </si>
  <si>
    <t>PCB</t>
  </si>
  <si>
    <t>Issue</t>
  </si>
  <si>
    <t>ZJ0385001</t>
  </si>
  <si>
    <t>ZJ0392001</t>
  </si>
  <si>
    <t>ZJ0392005</t>
  </si>
  <si>
    <t>ZJ0392004</t>
  </si>
  <si>
    <t>C.T. Rating Selection</t>
  </si>
  <si>
    <t>Digit No 13</t>
  </si>
  <si>
    <t>1 Amp C.T. - Standard</t>
  </si>
  <si>
    <t>1 Amp C.T. - Earth Fault = Phase Fault (U.S.A.)</t>
  </si>
  <si>
    <t>5 Amp C.T. - Standard</t>
  </si>
  <si>
    <t>5 Amp C.T. - Earth Fault = Phase Fault (U.S.A.)</t>
  </si>
  <si>
    <t>1 Amp &amp; 5 Amp - Software Selectable</t>
  </si>
  <si>
    <t>Microprocessor / Interconnect PCB's</t>
  </si>
  <si>
    <t>KCEG11201C</t>
  </si>
  <si>
    <t>ZJ0386001</t>
  </si>
  <si>
    <t>ZJ0234001</t>
  </si>
  <si>
    <t>KCEG11201D</t>
  </si>
  <si>
    <t>ZJ0386003</t>
  </si>
  <si>
    <t>KCEG11201E</t>
  </si>
  <si>
    <t>KCEG11201F</t>
  </si>
  <si>
    <t>KCEG11201L</t>
  </si>
  <si>
    <t>ZJ0407007</t>
  </si>
  <si>
    <t>KCEG11201M</t>
  </si>
  <si>
    <t>KCEG11201P</t>
  </si>
  <si>
    <t>KCEG112XXC</t>
  </si>
  <si>
    <t>KCEG112XXE</t>
  </si>
  <si>
    <t>KCEG14201C</t>
  </si>
  <si>
    <t>ZJ0236001</t>
  </si>
  <si>
    <t>KCEG14201D</t>
  </si>
  <si>
    <t>KCEG14201E</t>
  </si>
  <si>
    <t>KCEG14201F</t>
  </si>
  <si>
    <t>KCEG142XXC</t>
  </si>
  <si>
    <t>KCEG142XXE</t>
  </si>
  <si>
    <t>KCEG15201D</t>
  </si>
  <si>
    <t>KCEG15201E</t>
  </si>
  <si>
    <t>KCEG15201F</t>
  </si>
  <si>
    <t>KCEG15201L</t>
  </si>
  <si>
    <t>KCEG15201M</t>
  </si>
  <si>
    <t>KCEG15201P</t>
  </si>
  <si>
    <t>KCEG152XXE</t>
  </si>
  <si>
    <t>KCEG152XXF</t>
  </si>
  <si>
    <t>KCEG24201C</t>
  </si>
  <si>
    <t>ZJ0238001</t>
  </si>
  <si>
    <t>KCEG24201E</t>
  </si>
  <si>
    <t>KCEG242XXC</t>
  </si>
  <si>
    <t>KCEG242XXE</t>
  </si>
  <si>
    <t>KCEU14201L</t>
  </si>
  <si>
    <t>KCEU24201L</t>
  </si>
  <si>
    <t>KCEU242XXL</t>
  </si>
  <si>
    <t>KCGG12201C</t>
  </si>
  <si>
    <t>ZJ0386005</t>
  </si>
  <si>
    <t>KCGG12201D</t>
  </si>
  <si>
    <t>ZJ0386002</t>
  </si>
  <si>
    <t>KCGG12201E</t>
  </si>
  <si>
    <t>KCGG12201F</t>
  </si>
  <si>
    <t>KCGG122XXC</t>
  </si>
  <si>
    <t>KCGG122XXF</t>
  </si>
  <si>
    <t>KCGG14101C</t>
  </si>
  <si>
    <t>ZJ0407001</t>
  </si>
  <si>
    <t>ZJ0402002</t>
  </si>
  <si>
    <t>KCGG14101D</t>
  </si>
  <si>
    <t>ZJ0407003</t>
  </si>
  <si>
    <t>KCGG14101E</t>
  </si>
  <si>
    <t>KCGG14101F</t>
  </si>
  <si>
    <t>KCGG14201C</t>
  </si>
  <si>
    <t>KCGG14201D</t>
  </si>
  <si>
    <t>KCGG14201E</t>
  </si>
  <si>
    <t>KCGG14201F</t>
  </si>
  <si>
    <t>KCGG14202C</t>
  </si>
  <si>
    <t>KCGG14202D</t>
  </si>
  <si>
    <t>KCGG14202E</t>
  </si>
  <si>
    <t>KCGG14202F</t>
  </si>
  <si>
    <t>KCGG14203C</t>
  </si>
  <si>
    <t>KCGG14203D</t>
  </si>
  <si>
    <t>KCGG14203E</t>
  </si>
  <si>
    <t>KCGG14203F</t>
  </si>
  <si>
    <t>KCGG142XXC</t>
  </si>
  <si>
    <t>KCGG24101C</t>
  </si>
  <si>
    <t>KCGG24101D</t>
  </si>
  <si>
    <t>KCGG24101E</t>
  </si>
  <si>
    <t>KCGG24101F</t>
  </si>
  <si>
    <t>KCGG33201C</t>
  </si>
  <si>
    <t>KCGG33201E</t>
  </si>
  <si>
    <t>KCGG34101C</t>
  </si>
  <si>
    <t>KCGG34101D</t>
  </si>
  <si>
    <t>KCGG34101E</t>
  </si>
  <si>
    <t>KCGG34101F</t>
  </si>
  <si>
    <t>KVFG12201A</t>
  </si>
  <si>
    <t>ZJ0407006</t>
  </si>
  <si>
    <t>KVFG14201A</t>
  </si>
  <si>
    <t>KVFG142XXA</t>
  </si>
  <si>
    <t>KVGC10201G</t>
  </si>
  <si>
    <t>KVGC102XXG</t>
  </si>
  <si>
    <t>C.T.Rating Key</t>
  </si>
  <si>
    <t>AMP</t>
  </si>
  <si>
    <t>AMPS</t>
  </si>
  <si>
    <t>STD</t>
  </si>
  <si>
    <t>SPEC</t>
  </si>
  <si>
    <t>SENS</t>
  </si>
  <si>
    <t>A/SENS</t>
  </si>
  <si>
    <t>Tray 1 - Coils &amp; Laminations</t>
  </si>
  <si>
    <r>
      <t xml:space="preserve">Directional </t>
    </r>
    <r>
      <rPr>
        <sz val="11"/>
        <color indexed="10"/>
        <rFont val="Arial"/>
        <family val="2"/>
      </rPr>
      <t>OR</t>
    </r>
    <r>
      <rPr>
        <sz val="11"/>
        <color indexed="8"/>
        <rFont val="Arial"/>
        <family val="2"/>
      </rPr>
      <t xml:space="preserve"> Non-Directional Application</t>
    </r>
  </si>
  <si>
    <t>(KVFG=0,KCE*=10000,KCGG or KVGC=20000)</t>
  </si>
  <si>
    <r>
      <t xml:space="preserve">Auxiliary </t>
    </r>
    <r>
      <rPr>
        <sz val="11"/>
        <color indexed="10"/>
        <rFont val="Arial"/>
        <family val="2"/>
      </rPr>
      <t>OR</t>
    </r>
    <r>
      <rPr>
        <sz val="11"/>
        <color indexed="8"/>
        <rFont val="Arial"/>
        <family val="2"/>
      </rPr>
      <t xml:space="preserve"> Dual Power Source</t>
    </r>
  </si>
  <si>
    <t>(Dual Powered for AC Series Trip=0, Auxiliary=1000, Dual Powered=2000)</t>
  </si>
  <si>
    <t>(One=100,Two=200,Three=300,Four=500)</t>
  </si>
  <si>
    <r>
      <t xml:space="preserve">(1A -Std) </t>
    </r>
    <r>
      <rPr>
        <sz val="11"/>
        <color indexed="10"/>
        <rFont val="Arial"/>
        <family val="2"/>
      </rPr>
      <t>or</t>
    </r>
    <r>
      <rPr>
        <sz val="11"/>
        <color indexed="8"/>
        <rFont val="Arial"/>
        <family val="2"/>
      </rPr>
      <t xml:space="preserve"> (1A -USA) </t>
    </r>
    <r>
      <rPr>
        <sz val="11"/>
        <color indexed="10"/>
        <rFont val="Arial"/>
        <family val="2"/>
      </rPr>
      <t>or</t>
    </r>
    <r>
      <rPr>
        <sz val="11"/>
        <color indexed="8"/>
        <rFont val="Arial"/>
        <family val="2"/>
      </rPr>
      <t xml:space="preserve"> (5A -Std) </t>
    </r>
    <r>
      <rPr>
        <sz val="11"/>
        <color indexed="10"/>
        <rFont val="Arial"/>
        <family val="2"/>
      </rPr>
      <t>or</t>
    </r>
    <r>
      <rPr>
        <sz val="11"/>
        <color indexed="8"/>
        <rFont val="Arial"/>
        <family val="2"/>
      </rPr>
      <t xml:space="preserve"> (5A -USA) </t>
    </r>
    <r>
      <rPr>
        <sz val="11"/>
        <color indexed="10"/>
        <rFont val="Arial"/>
        <family val="2"/>
      </rPr>
      <t>or</t>
    </r>
    <r>
      <rPr>
        <sz val="11"/>
        <color indexed="8"/>
        <rFont val="Arial"/>
        <family val="2"/>
      </rPr>
      <t xml:space="preserve"> (5A[Phase]+5A[E/F] -USA) C.T's. or KVGC or KVFG</t>
    </r>
  </si>
  <si>
    <t>(None=0,1AmpSTD=10,1AmpSPEC=20,5AmpSTD=30,5AmpSPEC=40, KVFG=60,1AmpSENS=70,5AmpSENS=80,5Amp/1Amp=90)</t>
  </si>
  <si>
    <t>(110V=1,440V=4)</t>
  </si>
  <si>
    <t>KVFG122 - 2 Pole 110V</t>
  </si>
  <si>
    <t>ZC0411022</t>
  </si>
  <si>
    <t>KVFG122 - 2 Pole 440V</t>
  </si>
  <si>
    <t>ZC0411023</t>
  </si>
  <si>
    <t>KVFG142 - 4 Pole 110V</t>
  </si>
  <si>
    <t>ZC0411024</t>
  </si>
  <si>
    <t>KVFG142 - 4 Pole 440V</t>
  </si>
  <si>
    <t>ZC0411025</t>
  </si>
  <si>
    <t>KCEG112 - 1 Amp(Std) E/F C.T.+110V V.T.</t>
  </si>
  <si>
    <t>ZC0411009</t>
  </si>
  <si>
    <t>KCEG112 - 1 Amp(Std) E/F C.T.+440V V.T.</t>
  </si>
  <si>
    <t>ZC0411010</t>
  </si>
  <si>
    <t>KCEG112 - 1 Amp(Special) Phase C.T.+110V VT</t>
  </si>
  <si>
    <t>ZC0411029</t>
  </si>
  <si>
    <t>KCEG112 - 1 Amp(Special) Phase C.T.+440V VT</t>
  </si>
  <si>
    <t>ZC0411???</t>
  </si>
  <si>
    <t>KCEG112 - 5 Amp(Std)E/F C.T.+110V V.T.</t>
  </si>
  <si>
    <t>ZC0411011</t>
  </si>
  <si>
    <t>KCEG112 - 5 Amp(Std)E/F C.T.+440V V.T.</t>
  </si>
  <si>
    <t>ZJ0407102</t>
  </si>
  <si>
    <t>ZJ0407105</t>
  </si>
  <si>
    <t>ZJ0407107</t>
  </si>
  <si>
    <t>ZJ0407101</t>
  </si>
  <si>
    <t>ZJ0407103</t>
  </si>
  <si>
    <t>ZJ0407106</t>
  </si>
  <si>
    <t>ZC0411012</t>
  </si>
  <si>
    <t>KCEG112 - 5 Amp(Special) Phase C.T.+110V VT</t>
  </si>
  <si>
    <t>ZC0411030</t>
  </si>
  <si>
    <t>KCEG112 - 5 Amp(Special) Phase C.T.+440V VT</t>
  </si>
  <si>
    <t>KVGC102/202 ONLY</t>
  </si>
  <si>
    <t>KCEG112 - 1 Amp(Sensitive) E/F C.T.+110V V.T.</t>
  </si>
  <si>
    <t>KCEG112 - 1 Amp(Sensitive) E/F C.T.+440V V.T.</t>
  </si>
  <si>
    <t>KCEG112 - 5 Amp(Sensitive) E/F C.T.+110V V.T.</t>
  </si>
  <si>
    <t>KCEG112 - 5 Amp(Sensitive) E/F C.T.+440V V.T.</t>
  </si>
  <si>
    <t>KCEG142 - 3x1 Amp(Standard) Phase C.T's.+ 1 E/F C.T.(110V V.T. on another Tray)</t>
  </si>
  <si>
    <t>ZC0411003</t>
  </si>
  <si>
    <t>KCEG14201F21C**</t>
  </si>
  <si>
    <t>KCEG142 - 3x1 Amp(Standard) Phase C.T's.+ 1 E/F C.T.(440V V.T. on another Tray)</t>
  </si>
  <si>
    <t>KCEG14201F24C**</t>
  </si>
  <si>
    <t>KCEG142 - 4x1 Amp(Special) Phase C.T's.(110V V.T. on another Tray)</t>
  </si>
  <si>
    <t>ZC0411017</t>
  </si>
  <si>
    <t>KCEG14201F21D**</t>
  </si>
  <si>
    <t>KCEG142 - 4x1 Amp(Special) Phase C.T's.(440V V.T. on another Tray)</t>
  </si>
  <si>
    <t>KCEG14201F24D**</t>
  </si>
  <si>
    <t>KCEG142 - 3x5 Amp(Standard) Phase C.T's.+1xE/F C.T.(110V V.T. on another Tray)</t>
  </si>
  <si>
    <t>ZC0411004</t>
  </si>
  <si>
    <t>KCEG14201F21E**</t>
  </si>
  <si>
    <t>KCEG142 - 3x5 Amp(Standard) Phase C.T's.+1xE/F C.T.(440V V.T. on another Tray)</t>
  </si>
  <si>
    <t>KCEG14201F24E**</t>
  </si>
  <si>
    <t>KCEG142 - 4x5 Amp(Special) Phase C.T's.(110V V.T. on another Tray)</t>
  </si>
  <si>
    <t>ZC0411018</t>
  </si>
  <si>
    <t>KCEG14201F21F**</t>
  </si>
  <si>
    <t>KCEG142 - 4x5 Amp(Special) Phase C.T's.(440V V.T. on another Tray)</t>
  </si>
  <si>
    <t>KCEG14201F24F**</t>
  </si>
  <si>
    <t>APPLICATION ? - 1 Amp - 3 Phase + 1 E/F C.T.</t>
  </si>
  <si>
    <t>KCEU14201F21L**</t>
  </si>
  <si>
    <t>APPLICATION ? - 5 Amp - 3 Phase + 1 E/F C.T's.</t>
  </si>
  <si>
    <t>KCEU14201F21M**</t>
  </si>
  <si>
    <t>APPLICATION ? - 1 Amp - 1 110V V.T. + 1 SENSITIVE E/F C.T.</t>
  </si>
  <si>
    <t>ZC0411027</t>
  </si>
  <si>
    <t>KCEU14201F21P**</t>
  </si>
  <si>
    <t>KCEG152 - 3x1 Amp(Standard) Phase C.T's.+1xE/F C.T.(110V V.T. on another Tray)</t>
  </si>
  <si>
    <t>KCEG15201F21C**</t>
  </si>
  <si>
    <t>KCEG152 - 3x1 Amp(Standard) Phase C.T's.+1xE/F C.T.(440V V.T. on another Tray)</t>
  </si>
  <si>
    <t>KCEG15201F24C**</t>
  </si>
  <si>
    <t>Issue : 067 - As at 18/09/00 - 5A "Special" CT variant of KCGG14*** added to options.</t>
  </si>
  <si>
    <t>KCEG152 - 4x1 Amp(Special) Phase C.T's.(110V V.T. on another Tray)</t>
  </si>
  <si>
    <t>KCEG15201F21D**</t>
  </si>
  <si>
    <t>KCEG152 - 4x1 Amp(Special) Phase C.T's.(440V V.T. on another Tray)</t>
  </si>
  <si>
    <t>KCEG15201F24D**</t>
  </si>
  <si>
    <t>KCEG152 - 3x5 Amp(Standard) Phase C.T's.+1xE/F C.T.(110V V.T. on another Tray)</t>
  </si>
  <si>
    <t>KCEG15201F21E**</t>
  </si>
  <si>
    <t>KCEG152 - 3x5 Amp(Standard) Phase C.T's.+1xE/F C.T.(440V V.T. on another Tray)</t>
  </si>
  <si>
    <t>KCEG15201F24E**</t>
  </si>
  <si>
    <t>KCEG152 - 4x5 Amp(Special) Phase C.T's.(110V V.T. on another Tray)</t>
  </si>
  <si>
    <t>KCEG15201F21F**</t>
  </si>
  <si>
    <t>KCEG152 - 4x5 Amp(Special) Phase C.T's.(440V V.T. on another Tray)</t>
  </si>
  <si>
    <t>KCEG15201F24F**</t>
  </si>
  <si>
    <t>KCEG152 - 3x1 Amp(Standard) Phase C.T's.+1x(Sensitive) E/F C.T.(110V V.T. on another Tray)</t>
  </si>
  <si>
    <t>KCEG15201F21L**</t>
  </si>
  <si>
    <t>KCEG152 - 3x1 Amp(Standard) Phase C.T's.+1x(Sensitive) E/F C.T.(440V V.T. on another Tray)</t>
  </si>
  <si>
    <t>KCEG15201F24L**</t>
  </si>
  <si>
    <t>KCEG152 - 3x5 Amp(Standard) Phase C.T's.+1x(Sensitive) E/F C.T.(110V V.T. on another Tray)</t>
  </si>
  <si>
    <t>KCEG15201F21M**</t>
  </si>
  <si>
    <t>KCEG152 - 3x5 Amp(Standard) Phase C.T's.+1x(Sensitive) E/F C.T.(440V V.T. on another Tray)</t>
  </si>
  <si>
    <t>KCEG15201F24M**</t>
  </si>
  <si>
    <t>KCEG152 - 3x5 Amp(Standard) Phase C.T's.+1x1 Amp(Sensitive) E/F C.T.(110V V.T. on another Tray)</t>
  </si>
  <si>
    <t>KCEG15201F21P**</t>
  </si>
  <si>
    <t>… KCGG122 was "C", KCGG142 was "B", KCEU142 was "B", KCEU242 was "B".</t>
  </si>
  <si>
    <t>Issue : 071 - As at 19/04/01 - EPROM for KCGG14203 variants was ZB9598054, Interconnect PCB was ZJ0236001 in error.</t>
  </si>
  <si>
    <t>KCEG152 - 3x5 Amp(Standard) Phase C.T's.+1x1 Amp(Sensitive) E/F C.T.(440V V.T. on another Tray)</t>
  </si>
  <si>
    <t>KCEG15201F24P**</t>
  </si>
  <si>
    <t>KCEG242 - 2x1 Amp(Standard) Phase C.T's.+1x Self-Energ. C.T.(110V V.T. on another Tray)</t>
  </si>
  <si>
    <t>ZC0411013</t>
  </si>
  <si>
    <t>KCEG24201H91C**</t>
  </si>
  <si>
    <t>KCEG242 - 2x1 Amp(Standard) Phase C.T's.+1x Self-Energ. C.T.(440V V.T. on another Tray)</t>
  </si>
  <si>
    <t>ZC0411015</t>
  </si>
  <si>
    <t>KCEG24201H94C**</t>
  </si>
  <si>
    <t>APPLICATION ? - 1 Amp - 1 Self-Energ. C.T. + 2 Phase C.T's.</t>
  </si>
  <si>
    <t>KCEG242 - 2x5 Amp(Standard) Phase C.T's.+1xSelf-Energ. C.T.(110V V.T. on another Tray)</t>
  </si>
  <si>
    <t>ZC0411014</t>
  </si>
  <si>
    <t>KCEG24201H91E**</t>
  </si>
  <si>
    <t>KCEG242 - 2x5 Amp(Standard) Phase C.T's.+1xSelf-Energ. C.T.(440V V.T. on another Tray)</t>
  </si>
  <si>
    <t>KCEG24201H94E**</t>
  </si>
  <si>
    <t>APPLICATION ? - 5 Amp - 1 Self-Energ. C.T. + 2 Phase C.T's.</t>
  </si>
  <si>
    <t>KCEG242 - 2x1 Amp(Standard) Phase C.T's.+1xSelf-Energ. C.T.(110V V.T. &amp; (Sensitive) E/F C.T. on other Trays)</t>
  </si>
  <si>
    <t>KCEG24201H91L**</t>
  </si>
  <si>
    <t>KCEU24201H91L**</t>
  </si>
  <si>
    <t>KCEG242 - 2x1 Amp(Standard) Phase C.T's.+1xSelf-Energ. C.T.(440V V.T. &amp; (Sensitive) E/F C.T. on other Trays)</t>
  </si>
  <si>
    <t>KCEG24201H94L**</t>
  </si>
  <si>
    <t>KCEG242 - 2x5 Amp(Standard) Phase C.T's.+1xSelf-Energ. C.T.(110V V.T. &amp; (Sensitive) E/F C.T. on other Trays)</t>
  </si>
  <si>
    <t>KCEG24201H91M**</t>
  </si>
  <si>
    <t>KCEG242 - 2x5 Amp(Standard) Phase C.T's.+1xSelf-Energ. C.T.(440V V.T. &amp; (Sensitive) E/F C.T. on other Trays)</t>
  </si>
  <si>
    <t>ZC0411016</t>
  </si>
  <si>
    <t>KCEG24201H94M**</t>
  </si>
  <si>
    <t>1 Amp - 3 Phase + 1 E/F C.T.</t>
  </si>
  <si>
    <t>KCGG34101H90C**</t>
  </si>
  <si>
    <t>1 Amp - 4 Phase C.T's.</t>
  </si>
  <si>
    <t>KCGG34101H90D**</t>
  </si>
  <si>
    <t>5 Amp - 3 Phase + 1 E/F C.T's.</t>
  </si>
  <si>
    <t>KCGG14F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</si>
</sst>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
    <numFmt numFmtId="167" formatCode="00"/>
    <numFmt numFmtId="168" formatCode="000"/>
    <numFmt numFmtId="169" formatCode="000000"/>
    <numFmt numFmtId="170" formatCode="000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s>
  <fonts count="34">
    <font>
      <sz val="11"/>
      <name val="Arial"/>
      <family val="0"/>
    </font>
    <font>
      <b/>
      <sz val="11"/>
      <name val="Arial"/>
      <family val="0"/>
    </font>
    <font>
      <i/>
      <sz val="11"/>
      <name val="Arial"/>
      <family val="0"/>
    </font>
    <font>
      <b/>
      <i/>
      <sz val="11"/>
      <name val="Arial"/>
      <family val="0"/>
    </font>
    <font>
      <b/>
      <sz val="16"/>
      <name val="Arial"/>
      <family val="2"/>
    </font>
    <font>
      <b/>
      <sz val="16"/>
      <color indexed="10"/>
      <name val="Arial"/>
      <family val="2"/>
    </font>
    <font>
      <sz val="8"/>
      <name val="Arial"/>
      <family val="2"/>
    </font>
    <font>
      <sz val="11"/>
      <color indexed="10"/>
      <name val="Arial"/>
      <family val="2"/>
    </font>
    <font>
      <b/>
      <sz val="11"/>
      <color indexed="10"/>
      <name val="Arial"/>
      <family val="0"/>
    </font>
    <font>
      <sz val="11"/>
      <color indexed="8"/>
      <name val="Arial"/>
      <family val="2"/>
    </font>
    <font>
      <b/>
      <sz val="11"/>
      <color indexed="8"/>
      <name val="Arial"/>
      <family val="0"/>
    </font>
    <font>
      <b/>
      <sz val="16"/>
      <color indexed="8"/>
      <name val="Arial"/>
      <family val="2"/>
    </font>
    <font>
      <b/>
      <sz val="14"/>
      <name val="Arial"/>
      <family val="2"/>
    </font>
    <font>
      <sz val="8"/>
      <color indexed="12"/>
      <name val="Arial"/>
      <family val="2"/>
    </font>
    <font>
      <sz val="8"/>
      <color indexed="8"/>
      <name val="Arial"/>
      <family val="2"/>
    </font>
    <font>
      <sz val="11"/>
      <color indexed="12"/>
      <name val="Arial"/>
      <family val="2"/>
    </font>
    <font>
      <b/>
      <sz val="11"/>
      <color indexed="12"/>
      <name val="Arial"/>
      <family val="2"/>
    </font>
    <font>
      <sz val="11"/>
      <color indexed="11"/>
      <name val="Arial"/>
      <family val="2"/>
    </font>
    <font>
      <b/>
      <sz val="11"/>
      <color indexed="11"/>
      <name val="Arial"/>
      <family val="2"/>
    </font>
    <font>
      <b/>
      <sz val="11"/>
      <color indexed="17"/>
      <name val="Arial"/>
      <family val="2"/>
    </font>
    <font>
      <b/>
      <sz val="14"/>
      <color indexed="10"/>
      <name val="Arial"/>
      <family val="2"/>
    </font>
    <font>
      <b/>
      <sz val="14"/>
      <color indexed="8"/>
      <name val="Arial"/>
      <family val="2"/>
    </font>
    <font>
      <sz val="12"/>
      <color indexed="12"/>
      <name val="Arial"/>
      <family val="2"/>
    </font>
    <font>
      <sz val="12"/>
      <name val="Arial"/>
      <family val="2"/>
    </font>
    <font>
      <sz val="14"/>
      <color indexed="12"/>
      <name val="Arial"/>
      <family val="2"/>
    </font>
    <font>
      <sz val="14"/>
      <name val="Arial"/>
      <family val="2"/>
    </font>
    <font>
      <b/>
      <i/>
      <sz val="11"/>
      <color indexed="12"/>
      <name val="Arial"/>
      <family val="2"/>
    </font>
    <font>
      <b/>
      <sz val="12"/>
      <color indexed="10"/>
      <name val="Arial"/>
      <family val="2"/>
    </font>
    <font>
      <sz val="8"/>
      <name val="Tahoma"/>
      <family val="2"/>
    </font>
    <font>
      <sz val="12"/>
      <color indexed="8"/>
      <name val="Arial"/>
      <family val="2"/>
    </font>
    <font>
      <b/>
      <sz val="11"/>
      <color indexed="56"/>
      <name val="Arial"/>
      <family val="2"/>
    </font>
    <font>
      <b/>
      <i/>
      <sz val="11"/>
      <color indexed="8"/>
      <name val="Arial"/>
      <family val="2"/>
    </font>
    <font>
      <sz val="11"/>
      <color indexed="56"/>
      <name val="Arial"/>
      <family val="2"/>
    </font>
    <font>
      <sz val="10"/>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4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6">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1" xfId="0" applyFill="1" applyBorder="1" applyAlignment="1">
      <alignment/>
    </xf>
    <xf numFmtId="0" fontId="0" fillId="2" borderId="0" xfId="0" applyFill="1" applyBorder="1" applyAlignment="1">
      <alignment/>
    </xf>
    <xf numFmtId="0" fontId="7" fillId="2" borderId="0"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3"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Continuous"/>
    </xf>
    <xf numFmtId="0" fontId="0" fillId="2" borderId="3" xfId="0" applyFill="1" applyBorder="1" applyAlignment="1">
      <alignment horizontal="center"/>
    </xf>
    <xf numFmtId="0" fontId="9" fillId="2" borderId="0" xfId="0" applyFont="1" applyFill="1" applyBorder="1" applyAlignment="1">
      <alignment/>
    </xf>
    <xf numFmtId="0" fontId="0" fillId="2" borderId="0" xfId="0"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7" fillId="2" borderId="0" xfId="0" applyFont="1"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horizontal="centerContinuous"/>
    </xf>
    <xf numFmtId="165" fontId="5" fillId="2" borderId="0" xfId="0" applyNumberFormat="1" applyFont="1" applyFill="1" applyBorder="1" applyAlignment="1">
      <alignment horizontal="center"/>
    </xf>
    <xf numFmtId="0" fontId="0" fillId="2" borderId="8" xfId="0" applyFill="1" applyBorder="1" applyAlignment="1">
      <alignment/>
    </xf>
    <xf numFmtId="0" fontId="8" fillId="2" borderId="6" xfId="0" applyFont="1" applyFill="1" applyBorder="1" applyAlignment="1">
      <alignment/>
    </xf>
    <xf numFmtId="0" fontId="0" fillId="2" borderId="0" xfId="0" applyFont="1" applyFill="1" applyBorder="1" applyAlignment="1">
      <alignment/>
    </xf>
    <xf numFmtId="0" fontId="0" fillId="2" borderId="6" xfId="0" applyFill="1" applyBorder="1" applyAlignment="1">
      <alignment horizontal="center"/>
    </xf>
    <xf numFmtId="0" fontId="0" fillId="2" borderId="7" xfId="0" applyFill="1" applyBorder="1" applyAlignment="1">
      <alignment horizontal="center"/>
    </xf>
    <xf numFmtId="0" fontId="5" fillId="2" borderId="0" xfId="0" applyFont="1" applyFill="1" applyBorder="1" applyAlignment="1">
      <alignment horizontal="center"/>
    </xf>
    <xf numFmtId="0" fontId="0" fillId="2" borderId="8"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0" fontId="9" fillId="2" borderId="5" xfId="0" applyFont="1" applyFill="1" applyBorder="1" applyAlignment="1">
      <alignment horizontal="center"/>
    </xf>
    <xf numFmtId="0" fontId="0" fillId="2" borderId="4" xfId="0" applyFill="1" applyBorder="1" applyAlignment="1">
      <alignment/>
    </xf>
    <xf numFmtId="0" fontId="7" fillId="2" borderId="0" xfId="0" applyFont="1" applyFill="1" applyBorder="1" applyAlignment="1">
      <alignment horizontal="center"/>
    </xf>
    <xf numFmtId="167" fontId="0" fillId="2" borderId="9" xfId="0" applyNumberFormat="1" applyFill="1" applyBorder="1" applyAlignment="1">
      <alignment horizontal="center"/>
    </xf>
    <xf numFmtId="0" fontId="0" fillId="2" borderId="10" xfId="0" applyFill="1" applyBorder="1" applyAlignment="1">
      <alignment/>
    </xf>
    <xf numFmtId="0" fontId="0" fillId="2" borderId="9" xfId="0" applyFill="1" applyBorder="1" applyAlignment="1">
      <alignment horizontal="center"/>
    </xf>
    <xf numFmtId="0" fontId="7" fillId="3" borderId="9" xfId="0" applyFont="1" applyFill="1" applyBorder="1" applyAlignment="1">
      <alignment horizontal="center"/>
    </xf>
    <xf numFmtId="1" fontId="7" fillId="3" borderId="9" xfId="0" applyNumberFormat="1" applyFont="1" applyFill="1" applyBorder="1" applyAlignment="1">
      <alignment horizontal="center"/>
    </xf>
    <xf numFmtId="0" fontId="0" fillId="2" borderId="9" xfId="0" applyFill="1" applyBorder="1" applyAlignment="1">
      <alignment/>
    </xf>
    <xf numFmtId="0" fontId="0" fillId="2" borderId="7" xfId="0" applyFill="1" applyBorder="1" applyAlignment="1">
      <alignment horizontal="centerContinuous"/>
    </xf>
    <xf numFmtId="0" fontId="0" fillId="2" borderId="0" xfId="0" applyFill="1" applyBorder="1" applyAlignment="1">
      <alignment horizontal="centerContinuous"/>
    </xf>
    <xf numFmtId="167" fontId="0" fillId="2" borderId="0" xfId="0" applyNumberFormat="1" applyFill="1" applyBorder="1" applyAlignment="1">
      <alignment horizontal="center"/>
    </xf>
    <xf numFmtId="1" fontId="0" fillId="2" borderId="9" xfId="0" applyNumberFormat="1" applyFill="1" applyBorder="1" applyAlignment="1">
      <alignment horizontal="center"/>
    </xf>
    <xf numFmtId="0" fontId="5" fillId="3" borderId="9" xfId="0" applyFont="1" applyFill="1" applyBorder="1" applyAlignment="1">
      <alignment horizontal="center"/>
    </xf>
    <xf numFmtId="0" fontId="9" fillId="2" borderId="9" xfId="0" applyFont="1" applyFill="1" applyBorder="1" applyAlignment="1">
      <alignment horizontal="center"/>
    </xf>
    <xf numFmtId="1" fontId="0" fillId="2" borderId="0" xfId="0" applyNumberFormat="1" applyFill="1" applyBorder="1" applyAlignment="1">
      <alignment horizontal="center"/>
    </xf>
    <xf numFmtId="0" fontId="0" fillId="2" borderId="5" xfId="0" applyFill="1" applyBorder="1" applyAlignment="1">
      <alignment horizontal="centerContinuous"/>
    </xf>
    <xf numFmtId="0" fontId="0" fillId="2" borderId="5" xfId="0" applyFill="1" applyBorder="1" applyAlignment="1">
      <alignment/>
    </xf>
    <xf numFmtId="0" fontId="0" fillId="2" borderId="3" xfId="0" applyFont="1" applyFill="1" applyBorder="1" applyAlignment="1">
      <alignment/>
    </xf>
    <xf numFmtId="0" fontId="9" fillId="2" borderId="3" xfId="0" applyFont="1" applyFill="1" applyBorder="1" applyAlignment="1">
      <alignment horizontal="center"/>
    </xf>
    <xf numFmtId="0" fontId="0" fillId="2" borderId="6" xfId="0" applyFont="1" applyFill="1" applyBorder="1" applyAlignment="1">
      <alignment/>
    </xf>
    <xf numFmtId="0" fontId="9" fillId="2" borderId="6" xfId="0" applyFont="1" applyFill="1" applyBorder="1" applyAlignment="1">
      <alignment horizontal="center"/>
    </xf>
    <xf numFmtId="0" fontId="0" fillId="2" borderId="10" xfId="0" applyFill="1" applyBorder="1" applyAlignment="1">
      <alignment horizontal="right"/>
    </xf>
    <xf numFmtId="0" fontId="7" fillId="2" borderId="11" xfId="0" applyFont="1" applyFill="1" applyBorder="1" applyAlignment="1">
      <alignment horizontal="left"/>
    </xf>
    <xf numFmtId="0" fontId="0" fillId="2" borderId="11" xfId="0" applyFill="1" applyBorder="1" applyAlignment="1">
      <alignment horizontal="center"/>
    </xf>
    <xf numFmtId="0" fontId="0" fillId="2" borderId="11" xfId="0" applyFill="1" applyBorder="1" applyAlignment="1">
      <alignment/>
    </xf>
    <xf numFmtId="0" fontId="0" fillId="2" borderId="11" xfId="0" applyFill="1" applyBorder="1" applyAlignment="1">
      <alignment horizontal="right"/>
    </xf>
    <xf numFmtId="0" fontId="7" fillId="2" borderId="9" xfId="0" applyFont="1" applyFill="1" applyBorder="1" applyAlignment="1">
      <alignment horizontal="center"/>
    </xf>
    <xf numFmtId="14" fontId="0" fillId="2" borderId="9" xfId="0" applyNumberFormat="1" applyFill="1" applyBorder="1" applyAlignment="1">
      <alignment horizontal="center"/>
    </xf>
    <xf numFmtId="0" fontId="0" fillId="2" borderId="12" xfId="0" applyFill="1" applyBorder="1" applyAlignment="1">
      <alignment horizontal="center"/>
    </xf>
    <xf numFmtId="0" fontId="8" fillId="2" borderId="8" xfId="0" applyFont="1" applyFill="1" applyBorder="1" applyAlignment="1">
      <alignment/>
    </xf>
    <xf numFmtId="0" fontId="8" fillId="2" borderId="1" xfId="0" applyFont="1" applyFill="1" applyBorder="1" applyAlignment="1">
      <alignment/>
    </xf>
    <xf numFmtId="0" fontId="8" fillId="2" borderId="9" xfId="0" applyFont="1" applyFill="1" applyBorder="1" applyAlignment="1">
      <alignment/>
    </xf>
    <xf numFmtId="0" fontId="7" fillId="2" borderId="11" xfId="0" applyFont="1" applyFill="1" applyBorder="1" applyAlignment="1">
      <alignment horizontal="center"/>
    </xf>
    <xf numFmtId="0" fontId="0" fillId="2" borderId="11" xfId="0" applyFill="1" applyBorder="1" applyAlignment="1">
      <alignment horizontal="centerContinuous"/>
    </xf>
    <xf numFmtId="1" fontId="7" fillId="2" borderId="9" xfId="0" applyNumberFormat="1" applyFont="1" applyFill="1" applyBorder="1" applyAlignment="1">
      <alignment horizontal="center"/>
    </xf>
    <xf numFmtId="0" fontId="8" fillId="2" borderId="2" xfId="0" applyFont="1" applyFill="1" applyBorder="1" applyAlignment="1">
      <alignment/>
    </xf>
    <xf numFmtId="0" fontId="8" fillId="0" borderId="0" xfId="0" applyFont="1" applyBorder="1" applyAlignment="1">
      <alignment/>
    </xf>
    <xf numFmtId="0" fontId="8" fillId="2" borderId="9" xfId="0" applyFont="1" applyFill="1" applyBorder="1" applyAlignment="1">
      <alignment horizontal="center"/>
    </xf>
    <xf numFmtId="0" fontId="8" fillId="2" borderId="0" xfId="0" applyFont="1" applyFill="1" applyBorder="1" applyAlignment="1">
      <alignment/>
    </xf>
    <xf numFmtId="0" fontId="9" fillId="2" borderId="9" xfId="0" applyFont="1" applyFill="1" applyBorder="1" applyAlignment="1">
      <alignment/>
    </xf>
    <xf numFmtId="0" fontId="9" fillId="2" borderId="9" xfId="0" applyFont="1" applyFill="1" applyBorder="1" applyAlignment="1">
      <alignment/>
    </xf>
    <xf numFmtId="1"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7" fillId="2" borderId="9" xfId="0" applyFont="1" applyFill="1" applyBorder="1" applyAlignment="1">
      <alignment horizontal="center"/>
    </xf>
    <xf numFmtId="0" fontId="8" fillId="2" borderId="5" xfId="0" applyFont="1" applyFill="1" applyBorder="1" applyAlignment="1">
      <alignment/>
    </xf>
    <xf numFmtId="0" fontId="8" fillId="2" borderId="3" xfId="0" applyFont="1" applyFill="1" applyBorder="1" applyAlignment="1">
      <alignment/>
    </xf>
    <xf numFmtId="0" fontId="8" fillId="2" borderId="4" xfId="0" applyFont="1" applyFill="1" applyBorder="1" applyAlignment="1">
      <alignment/>
    </xf>
    <xf numFmtId="0" fontId="9" fillId="2" borderId="11" xfId="0" applyFont="1" applyFill="1" applyBorder="1" applyAlignment="1">
      <alignment horizontal="center"/>
    </xf>
    <xf numFmtId="0" fontId="9" fillId="2" borderId="12" xfId="0" applyFont="1" applyFill="1" applyBorder="1" applyAlignment="1">
      <alignment horizontal="center"/>
    </xf>
    <xf numFmtId="0" fontId="10" fillId="2" borderId="10" xfId="0" applyFont="1" applyFill="1" applyBorder="1" applyAlignment="1">
      <alignment/>
    </xf>
    <xf numFmtId="0" fontId="7" fillId="2" borderId="9" xfId="0" applyNumberFormat="1" applyFont="1" applyFill="1" applyBorder="1" applyAlignment="1">
      <alignment horizontal="center"/>
    </xf>
    <xf numFmtId="0" fontId="8" fillId="2" borderId="0" xfId="0" applyFont="1" applyFill="1" applyBorder="1" applyAlignment="1">
      <alignment horizontal="centerContinuous"/>
    </xf>
    <xf numFmtId="0" fontId="8" fillId="2" borderId="9" xfId="0" applyFont="1" applyFill="1" applyBorder="1" applyAlignment="1">
      <alignment horizontal="centerContinuous"/>
    </xf>
    <xf numFmtId="0" fontId="9" fillId="2" borderId="9" xfId="0" applyFont="1" applyFill="1" applyBorder="1" applyAlignment="1">
      <alignment horizontal="centerContinuous"/>
    </xf>
    <xf numFmtId="0" fontId="8" fillId="2" borderId="9" xfId="0" applyFont="1" applyFill="1" applyBorder="1" applyAlignment="1">
      <alignment/>
    </xf>
    <xf numFmtId="0" fontId="9" fillId="2" borderId="9" xfId="0" applyFont="1" applyFill="1" applyBorder="1" applyAlignment="1">
      <alignment/>
    </xf>
    <xf numFmtId="170" fontId="7" fillId="3" borderId="9" xfId="0" applyNumberFormat="1" applyFont="1" applyFill="1" applyBorder="1" applyAlignment="1">
      <alignment horizontal="center"/>
    </xf>
    <xf numFmtId="165" fontId="7" fillId="3" borderId="9" xfId="0" applyNumberFormat="1" applyFont="1" applyFill="1" applyBorder="1" applyAlignment="1">
      <alignment horizontal="center"/>
    </xf>
    <xf numFmtId="168" fontId="7" fillId="3" borderId="9" xfId="0" applyNumberFormat="1" applyFont="1" applyFill="1" applyBorder="1" applyAlignment="1">
      <alignment horizontal="center"/>
    </xf>
    <xf numFmtId="0" fontId="0" fillId="2" borderId="6" xfId="0" applyNumberFormat="1" applyFill="1" applyBorder="1" applyAlignment="1">
      <alignment horizontal="centerContinuous" wrapText="1"/>
    </xf>
    <xf numFmtId="0" fontId="1" fillId="2" borderId="10" xfId="0" applyNumberFormat="1" applyFont="1" applyFill="1" applyBorder="1" applyAlignment="1">
      <alignment/>
    </xf>
    <xf numFmtId="14" fontId="8" fillId="0" borderId="9" xfId="0" applyNumberFormat="1" applyFont="1" applyBorder="1" applyAlignment="1">
      <alignment horizontal="center" vertical="center"/>
    </xf>
    <xf numFmtId="14" fontId="9" fillId="2" borderId="9" xfId="0" applyNumberFormat="1" applyFont="1" applyFill="1" applyBorder="1" applyAlignment="1">
      <alignment horizontal="center" vertical="center"/>
    </xf>
    <xf numFmtId="0" fontId="0" fillId="2" borderId="9" xfId="0" applyFill="1" applyBorder="1" applyAlignment="1">
      <alignment horizontal="center" vertical="center"/>
    </xf>
    <xf numFmtId="0" fontId="9" fillId="2" borderId="1" xfId="0" applyFont="1" applyFill="1" applyBorder="1" applyAlignment="1">
      <alignment/>
    </xf>
    <xf numFmtId="0" fontId="0" fillId="2" borderId="0" xfId="0" applyFill="1" applyBorder="1" applyAlignment="1">
      <alignment horizontal="center" vertical="center"/>
    </xf>
    <xf numFmtId="0" fontId="8" fillId="2" borderId="10" xfId="0" applyFont="1" applyFill="1" applyBorder="1" applyAlignment="1">
      <alignment/>
    </xf>
    <xf numFmtId="0" fontId="9" fillId="2" borderId="10" xfId="0" applyFont="1" applyFill="1" applyBorder="1" applyAlignment="1">
      <alignment horizontal="left"/>
    </xf>
    <xf numFmtId="0" fontId="8" fillId="3" borderId="9" xfId="0" applyFont="1" applyFill="1" applyBorder="1" applyAlignment="1">
      <alignment horizontal="center"/>
    </xf>
    <xf numFmtId="0" fontId="9" fillId="2" borderId="9" xfId="0" applyFont="1" applyFill="1" applyBorder="1" applyAlignment="1">
      <alignment horizontal="center" wrapText="1"/>
    </xf>
    <xf numFmtId="0" fontId="0" fillId="2" borderId="10" xfId="0" applyFill="1" applyBorder="1" applyAlignment="1">
      <alignment horizontal="center"/>
    </xf>
    <xf numFmtId="0" fontId="8" fillId="3" borderId="12" xfId="0" applyFont="1" applyFill="1" applyBorder="1" applyAlignment="1">
      <alignment/>
    </xf>
    <xf numFmtId="1" fontId="9" fillId="2" borderId="9" xfId="0" applyNumberFormat="1" applyFont="1" applyFill="1" applyBorder="1" applyAlignment="1">
      <alignment horizontal="center"/>
    </xf>
    <xf numFmtId="0" fontId="17" fillId="2" borderId="9" xfId="0" applyFont="1" applyFill="1" applyBorder="1" applyAlignment="1">
      <alignment/>
    </xf>
    <xf numFmtId="170" fontId="9" fillId="2" borderId="9" xfId="0" applyNumberFormat="1" applyFont="1" applyFill="1" applyBorder="1" applyAlignment="1">
      <alignment/>
    </xf>
    <xf numFmtId="165" fontId="7" fillId="3" borderId="9" xfId="0" applyNumberFormat="1" applyFont="1" applyFill="1" applyBorder="1" applyAlignment="1">
      <alignment horizontal="right"/>
    </xf>
    <xf numFmtId="168" fontId="7" fillId="3" borderId="9" xfId="0" applyNumberFormat="1" applyFont="1" applyFill="1" applyBorder="1" applyAlignment="1">
      <alignment horizontal="right"/>
    </xf>
    <xf numFmtId="1" fontId="7" fillId="3" borderId="9" xfId="0" applyNumberFormat="1" applyFont="1" applyFill="1" applyBorder="1" applyAlignment="1">
      <alignment horizontal="right"/>
    </xf>
    <xf numFmtId="170" fontId="7" fillId="3" borderId="9" xfId="0" applyNumberFormat="1" applyFont="1" applyFill="1" applyBorder="1" applyAlignment="1">
      <alignment horizontal="right"/>
    </xf>
    <xf numFmtId="1" fontId="8" fillId="2" borderId="0" xfId="0" applyNumberFormat="1" applyFont="1" applyFill="1" applyBorder="1" applyAlignment="1">
      <alignment horizontal="center"/>
    </xf>
    <xf numFmtId="0" fontId="9" fillId="2" borderId="12" xfId="0" applyFont="1" applyFill="1" applyBorder="1" applyAlignment="1">
      <alignment/>
    </xf>
    <xf numFmtId="0" fontId="0" fillId="2" borderId="9" xfId="0" applyFill="1" applyBorder="1" applyAlignment="1">
      <alignment horizontal="center" wrapText="1"/>
    </xf>
    <xf numFmtId="168" fontId="0" fillId="2" borderId="1" xfId="0" applyNumberFormat="1" applyFill="1" applyBorder="1" applyAlignment="1">
      <alignment horizontal="center"/>
    </xf>
    <xf numFmtId="168" fontId="9" fillId="2" borderId="1" xfId="0" applyNumberFormat="1" applyFont="1" applyFill="1" applyBorder="1" applyAlignment="1">
      <alignment horizontal="center"/>
    </xf>
    <xf numFmtId="0" fontId="9" fillId="2" borderId="0" xfId="0" applyFont="1" applyFill="1" applyBorder="1" applyAlignment="1">
      <alignment horizontal="left"/>
    </xf>
    <xf numFmtId="0" fontId="7" fillId="2" borderId="6" xfId="0" applyFont="1" applyFill="1" applyBorder="1" applyAlignment="1">
      <alignment horizontal="center"/>
    </xf>
    <xf numFmtId="0" fontId="8" fillId="2" borderId="6" xfId="0" applyFont="1" applyFill="1" applyBorder="1" applyAlignment="1">
      <alignment horizontal="centerContinuous"/>
    </xf>
    <xf numFmtId="0" fontId="8" fillId="2" borderId="6" xfId="0" applyFont="1" applyFill="1" applyBorder="1" applyAlignment="1">
      <alignment/>
    </xf>
    <xf numFmtId="0" fontId="8" fillId="2" borderId="7" xfId="0" applyFont="1" applyFill="1" applyBorder="1" applyAlignment="1">
      <alignment horizontal="center"/>
    </xf>
    <xf numFmtId="0" fontId="7" fillId="2" borderId="3" xfId="0" applyFont="1" applyFill="1" applyBorder="1" applyAlignment="1">
      <alignment horizontal="center"/>
    </xf>
    <xf numFmtId="0" fontId="8" fillId="2" borderId="3" xfId="0" applyFont="1" applyFill="1" applyBorder="1" applyAlignment="1">
      <alignment horizontal="centerContinuous"/>
    </xf>
    <xf numFmtId="0" fontId="8" fillId="2" borderId="3" xfId="0" applyFont="1" applyFill="1" applyBorder="1" applyAlignment="1">
      <alignment/>
    </xf>
    <xf numFmtId="0" fontId="8" fillId="2" borderId="4" xfId="0" applyFont="1" applyFill="1" applyBorder="1" applyAlignment="1">
      <alignment horizontal="center"/>
    </xf>
    <xf numFmtId="167" fontId="7" fillId="3" borderId="9" xfId="0" applyNumberFormat="1" applyFont="1" applyFill="1" applyBorder="1" applyAlignment="1">
      <alignment horizontal="center"/>
    </xf>
    <xf numFmtId="167" fontId="9" fillId="2" borderId="9" xfId="0" applyNumberFormat="1" applyFont="1" applyFill="1" applyBorder="1" applyAlignment="1">
      <alignment horizontal="center"/>
    </xf>
    <xf numFmtId="14" fontId="8" fillId="3" borderId="9" xfId="0" applyNumberFormat="1" applyFont="1" applyFill="1" applyBorder="1" applyAlignment="1">
      <alignment horizontal="center"/>
    </xf>
    <xf numFmtId="14" fontId="10" fillId="2" borderId="9" xfId="0" applyNumberFormat="1" applyFont="1" applyFill="1" applyBorder="1" applyAlignment="1">
      <alignment horizontal="centerContinuous"/>
    </xf>
    <xf numFmtId="0" fontId="7" fillId="2" borderId="9" xfId="0" applyFont="1" applyFill="1" applyBorder="1" applyAlignment="1">
      <alignment horizontal="centerContinuous"/>
    </xf>
    <xf numFmtId="1" fontId="8" fillId="2" borderId="9" xfId="0" applyNumberFormat="1" applyFont="1" applyFill="1" applyBorder="1" applyAlignment="1">
      <alignment horizontal="centerContinuous"/>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0" xfId="0" applyBorder="1" applyAlignment="1">
      <alignment horizontal="centerContinuous"/>
    </xf>
    <xf numFmtId="0" fontId="0" fillId="0" borderId="12" xfId="0" applyBorder="1" applyAlignment="1">
      <alignment horizontal="centerContinuous"/>
    </xf>
    <xf numFmtId="0" fontId="0" fillId="0" borderId="14" xfId="0" applyBorder="1" applyAlignment="1">
      <alignment horizontal="center"/>
    </xf>
    <xf numFmtId="0" fontId="8" fillId="3" borderId="9" xfId="0" applyFont="1" applyFill="1" applyBorder="1" applyAlignment="1">
      <alignment horizontal="center"/>
    </xf>
    <xf numFmtId="0" fontId="8" fillId="2" borderId="9" xfId="0" applyFont="1" applyFill="1" applyBorder="1" applyAlignment="1">
      <alignment horizontal="center"/>
    </xf>
    <xf numFmtId="0" fontId="10" fillId="2" borderId="8" xfId="0" applyNumberFormat="1" applyFont="1" applyFill="1" applyBorder="1" applyAlignment="1">
      <alignment horizontal="left" vertical="top"/>
    </xf>
    <xf numFmtId="0" fontId="0" fillId="2" borderId="10" xfId="0" applyNumberFormat="1" applyFill="1" applyBorder="1" applyAlignment="1">
      <alignment horizontal="centerContinuous" wrapText="1"/>
    </xf>
    <xf numFmtId="0" fontId="17" fillId="0" borderId="0" xfId="0" applyFont="1" applyAlignment="1">
      <alignment/>
    </xf>
    <xf numFmtId="0" fontId="18" fillId="2" borderId="0" xfId="0" applyFont="1" applyFill="1" applyBorder="1" applyAlignment="1">
      <alignment/>
    </xf>
    <xf numFmtId="0" fontId="18" fillId="2" borderId="5" xfId="0" applyFont="1" applyFill="1" applyBorder="1" applyAlignment="1">
      <alignment/>
    </xf>
    <xf numFmtId="0" fontId="7" fillId="3" borderId="6" xfId="0" applyFont="1" applyFill="1" applyBorder="1" applyAlignment="1">
      <alignment/>
    </xf>
    <xf numFmtId="0" fontId="0" fillId="2" borderId="0" xfId="0" applyNumberFormat="1" applyFill="1" applyBorder="1" applyAlignment="1">
      <alignment horizontal="centerContinuous" wrapText="1"/>
    </xf>
    <xf numFmtId="0" fontId="13" fillId="2" borderId="9" xfId="0" applyFont="1" applyFill="1" applyBorder="1" applyAlignment="1">
      <alignment horizontal="center"/>
    </xf>
    <xf numFmtId="0" fontId="0" fillId="2" borderId="8" xfId="0" applyNumberFormat="1" applyFill="1" applyBorder="1" applyAlignment="1">
      <alignment horizontal="centerContinuous" wrapText="1"/>
    </xf>
    <xf numFmtId="0" fontId="7" fillId="2" borderId="8" xfId="0" applyNumberFormat="1" applyFont="1" applyFill="1" applyBorder="1" applyAlignment="1">
      <alignment horizontal="centerContinuous" wrapText="1"/>
    </xf>
    <xf numFmtId="0" fontId="7" fillId="2" borderId="1" xfId="0" applyNumberFormat="1" applyFont="1" applyFill="1" applyBorder="1" applyAlignment="1">
      <alignment horizontal="centerContinuous"/>
    </xf>
    <xf numFmtId="0" fontId="7" fillId="2" borderId="9" xfId="0" applyFont="1" applyFill="1" applyBorder="1" applyAlignment="1" quotePrefix="1">
      <alignment horizontal="center"/>
    </xf>
    <xf numFmtId="0" fontId="0" fillId="2" borderId="9" xfId="0" applyNumberFormat="1" applyFill="1" applyBorder="1" applyAlignment="1">
      <alignment horizontal="centerContinuous" wrapText="1"/>
    </xf>
    <xf numFmtId="0" fontId="0" fillId="2" borderId="8" xfId="0" applyNumberFormat="1" applyFill="1" applyBorder="1" applyAlignment="1">
      <alignment horizontal="center" wrapText="1"/>
    </xf>
    <xf numFmtId="0" fontId="0" fillId="2" borderId="10" xfId="0" applyNumberFormat="1" applyFill="1" applyBorder="1" applyAlignment="1">
      <alignment horizontal="center" wrapText="1"/>
    </xf>
    <xf numFmtId="0" fontId="13" fillId="2" borderId="6" xfId="0" applyFont="1" applyFill="1" applyBorder="1" applyAlignment="1">
      <alignment horizontal="center"/>
    </xf>
    <xf numFmtId="0" fontId="7" fillId="2" borderId="8" xfId="0" applyFont="1" applyFill="1" applyBorder="1" applyAlignment="1">
      <alignment horizontal="center"/>
    </xf>
    <xf numFmtId="165" fontId="7" fillId="3" borderId="0" xfId="0" applyNumberFormat="1" applyFont="1" applyFill="1" applyBorder="1" applyAlignment="1">
      <alignment horizontal="left"/>
    </xf>
    <xf numFmtId="0" fontId="5" fillId="3" borderId="9" xfId="0" applyFont="1" applyFill="1" applyBorder="1" applyAlignment="1">
      <alignment/>
    </xf>
    <xf numFmtId="0" fontId="7" fillId="3" borderId="0" xfId="0" applyFont="1" applyFill="1" applyAlignment="1">
      <alignment/>
    </xf>
    <xf numFmtId="168" fontId="7" fillId="3" borderId="1" xfId="0" applyNumberFormat="1" applyFont="1" applyFill="1" applyBorder="1" applyAlignment="1">
      <alignment horizontal="center"/>
    </xf>
    <xf numFmtId="0" fontId="7" fillId="3" borderId="0" xfId="0" applyFont="1" applyFill="1" applyBorder="1" applyAlignment="1">
      <alignment/>
    </xf>
    <xf numFmtId="0" fontId="7" fillId="3" borderId="0"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left"/>
    </xf>
    <xf numFmtId="0" fontId="8" fillId="3" borderId="10" xfId="0" applyFont="1" applyFill="1" applyBorder="1" applyAlignment="1">
      <alignment horizontal="centerContinuous"/>
    </xf>
    <xf numFmtId="0" fontId="0" fillId="3" borderId="12" xfId="0" applyFill="1" applyBorder="1" applyAlignment="1">
      <alignment horizontal="centerContinuous"/>
    </xf>
    <xf numFmtId="0" fontId="7" fillId="2" borderId="10" xfId="0" applyFont="1" applyFill="1" applyBorder="1" applyAlignment="1">
      <alignment horizontal="centerContinuous"/>
    </xf>
    <xf numFmtId="0" fontId="7" fillId="2" borderId="9" xfId="0" applyNumberFormat="1" applyFont="1" applyFill="1" applyBorder="1" applyAlignment="1">
      <alignment horizontal="center" wrapText="1"/>
    </xf>
    <xf numFmtId="0" fontId="7" fillId="2" borderId="10" xfId="0" applyNumberFormat="1" applyFont="1" applyFill="1" applyBorder="1" applyAlignment="1">
      <alignment horizontal="center" wrapText="1"/>
    </xf>
    <xf numFmtId="167" fontId="7" fillId="3" borderId="13" xfId="0" applyNumberFormat="1" applyFont="1" applyFill="1" applyBorder="1" applyAlignment="1">
      <alignment horizontal="center"/>
    </xf>
    <xf numFmtId="0" fontId="9" fillId="2" borderId="10" xfId="0" applyNumberFormat="1" applyFont="1" applyFill="1" applyBorder="1" applyAlignment="1">
      <alignment horizontal="center" wrapText="1"/>
    </xf>
    <xf numFmtId="0" fontId="7" fillId="3" borderId="9" xfId="0" applyFont="1" applyFill="1" applyBorder="1" applyAlignment="1">
      <alignment/>
    </xf>
    <xf numFmtId="0" fontId="9" fillId="2" borderId="9" xfId="0" applyNumberFormat="1" applyFont="1" applyFill="1" applyBorder="1" applyAlignment="1">
      <alignment horizontal="center"/>
    </xf>
    <xf numFmtId="0" fontId="9" fillId="2" borderId="9" xfId="0" applyFont="1" applyFill="1" applyBorder="1" applyAlignment="1">
      <alignment/>
    </xf>
    <xf numFmtId="1" fontId="7" fillId="3" borderId="9" xfId="0" applyNumberFormat="1" applyFont="1" applyFill="1" applyBorder="1" applyAlignment="1">
      <alignment horizontal="right" vertical="center"/>
    </xf>
    <xf numFmtId="1" fontId="7" fillId="3" borderId="9" xfId="0" applyNumberFormat="1" applyFont="1" applyFill="1" applyBorder="1" applyAlignment="1">
      <alignment horizontal="center" vertical="center"/>
    </xf>
    <xf numFmtId="0" fontId="15" fillId="0" borderId="0" xfId="0" applyFont="1" applyAlignment="1">
      <alignment/>
    </xf>
    <xf numFmtId="0" fontId="0" fillId="2" borderId="9" xfId="0" applyNumberFormat="1" applyFill="1" applyBorder="1" applyAlignment="1">
      <alignment horizontal="center" wrapText="1"/>
    </xf>
    <xf numFmtId="0" fontId="1" fillId="2" borderId="9" xfId="0" applyNumberFormat="1" applyFont="1" applyFill="1" applyBorder="1" applyAlignment="1">
      <alignment horizontal="center" wrapText="1"/>
    </xf>
    <xf numFmtId="0" fontId="7" fillId="2" borderId="9" xfId="0" applyFont="1" applyFill="1" applyBorder="1" applyAlignment="1" quotePrefix="1">
      <alignment horizontal="center"/>
    </xf>
    <xf numFmtId="0" fontId="7" fillId="3" borderId="10" xfId="0" applyNumberFormat="1" applyFont="1" applyFill="1" applyBorder="1" applyAlignment="1">
      <alignment horizontal="centerContinuous" wrapText="1"/>
    </xf>
    <xf numFmtId="0" fontId="9" fillId="2" borderId="9" xfId="0" applyFont="1" applyFill="1" applyBorder="1" applyAlignment="1" quotePrefix="1">
      <alignment horizontal="center"/>
    </xf>
    <xf numFmtId="0" fontId="9" fillId="2" borderId="10" xfId="0" applyNumberFormat="1" applyFont="1" applyFill="1" applyBorder="1" applyAlignment="1">
      <alignment horizontal="centerContinuous" wrapText="1"/>
    </xf>
    <xf numFmtId="0" fontId="9" fillId="2" borderId="9" xfId="0" applyNumberFormat="1" applyFont="1" applyFill="1" applyBorder="1" applyAlignment="1">
      <alignment horizontal="centerContinuous" wrapText="1"/>
    </xf>
    <xf numFmtId="0" fontId="7" fillId="3" borderId="9" xfId="0" applyFont="1" applyFill="1" applyBorder="1" applyAlignment="1">
      <alignment horizontal="center"/>
    </xf>
    <xf numFmtId="0" fontId="9" fillId="2" borderId="9" xfId="0" applyFont="1" applyFill="1" applyBorder="1" applyAlignment="1" quotePrefix="1">
      <alignment horizontal="centerContinuous"/>
    </xf>
    <xf numFmtId="0" fontId="8" fillId="2" borderId="0" xfId="0" applyFont="1" applyFill="1" applyBorder="1" applyAlignment="1">
      <alignment horizontal="center"/>
    </xf>
    <xf numFmtId="0" fontId="10" fillId="2" borderId="9" xfId="0" applyNumberFormat="1" applyFont="1" applyFill="1" applyBorder="1" applyAlignment="1">
      <alignment horizontal="center" wrapText="1"/>
    </xf>
    <xf numFmtId="0" fontId="8" fillId="2" borderId="8" xfId="0" applyFont="1" applyFill="1" applyBorder="1" applyAlignment="1">
      <alignment horizontal="center"/>
    </xf>
    <xf numFmtId="0" fontId="8" fillId="2" borderId="1" xfId="0" applyFont="1" applyFill="1" applyBorder="1" applyAlignment="1">
      <alignment horizontal="center"/>
    </xf>
    <xf numFmtId="0" fontId="8" fillId="2" borderId="5" xfId="0" applyFont="1" applyFill="1" applyBorder="1" applyAlignment="1">
      <alignment horizontal="center"/>
    </xf>
    <xf numFmtId="0" fontId="7" fillId="2" borderId="0" xfId="0" applyNumberFormat="1" applyFont="1" applyFill="1" applyBorder="1" applyAlignment="1">
      <alignment horizontal="centerContinuous" wrapText="1"/>
    </xf>
    <xf numFmtId="0" fontId="9" fillId="2" borderId="9" xfId="0" applyFont="1" applyFill="1" applyBorder="1" applyAlignment="1" quotePrefix="1">
      <alignment horizontal="center"/>
    </xf>
    <xf numFmtId="0" fontId="7" fillId="2" borderId="9" xfId="0" applyNumberFormat="1" applyFont="1" applyFill="1" applyBorder="1" applyAlignment="1">
      <alignment horizontal="centerContinuous" wrapText="1"/>
    </xf>
    <xf numFmtId="0" fontId="7" fillId="2" borderId="9" xfId="0" applyNumberFormat="1" applyFont="1" applyFill="1" applyBorder="1" applyAlignment="1">
      <alignment horizontal="centerContinuous"/>
    </xf>
    <xf numFmtId="0" fontId="7" fillId="2" borderId="9" xfId="0" applyNumberFormat="1" applyFont="1" applyFill="1" applyBorder="1" applyAlignment="1" quotePrefix="1">
      <alignment horizontal="centerContinuous"/>
    </xf>
    <xf numFmtId="0" fontId="8" fillId="2" borderId="0" xfId="0" applyFont="1" applyFill="1" applyBorder="1" applyAlignment="1">
      <alignment/>
    </xf>
    <xf numFmtId="0" fontId="7" fillId="2" borderId="9" xfId="0" applyNumberFormat="1" applyFont="1" applyFill="1" applyBorder="1" applyAlignment="1" quotePrefix="1">
      <alignment horizontal="center" wrapText="1"/>
    </xf>
    <xf numFmtId="0" fontId="9" fillId="2" borderId="10" xfId="0" applyNumberFormat="1" applyFont="1" applyFill="1" applyBorder="1" applyAlignment="1" quotePrefix="1">
      <alignment horizontal="centerContinuous" wrapText="1"/>
    </xf>
    <xf numFmtId="0" fontId="9" fillId="2" borderId="9" xfId="0" applyNumberFormat="1" applyFont="1" applyFill="1" applyBorder="1" applyAlignment="1" quotePrefix="1">
      <alignment horizontal="centerContinuous" wrapText="1"/>
    </xf>
    <xf numFmtId="0" fontId="9" fillId="2" borderId="9" xfId="0" applyNumberFormat="1" applyFont="1" applyFill="1" applyBorder="1" applyAlignment="1">
      <alignment horizontal="center" wrapText="1"/>
    </xf>
    <xf numFmtId="0" fontId="9" fillId="2" borderId="9" xfId="0" applyNumberFormat="1" applyFont="1" applyFill="1" applyBorder="1" applyAlignment="1" quotePrefix="1">
      <alignment horizontal="center" wrapText="1"/>
    </xf>
    <xf numFmtId="0" fontId="8" fillId="2" borderId="9" xfId="0" applyFont="1" applyFill="1" applyBorder="1" applyAlignment="1" quotePrefix="1">
      <alignment horizontal="center"/>
    </xf>
    <xf numFmtId="0" fontId="1" fillId="2" borderId="10" xfId="0" applyNumberFormat="1" applyFont="1" applyFill="1" applyBorder="1" applyAlignment="1">
      <alignment horizontal="centerContinuous"/>
    </xf>
    <xf numFmtId="0" fontId="8" fillId="2" borderId="7" xfId="0" applyFont="1" applyFill="1" applyBorder="1" applyAlignment="1">
      <alignment/>
    </xf>
    <xf numFmtId="0" fontId="0" fillId="2" borderId="1" xfId="0" applyNumberFormat="1" applyFill="1" applyBorder="1" applyAlignment="1">
      <alignment horizontal="centerContinuous" wrapText="1"/>
    </xf>
    <xf numFmtId="0" fontId="8" fillId="2" borderId="5" xfId="0" applyFont="1" applyFill="1" applyBorder="1" applyAlignment="1">
      <alignment/>
    </xf>
    <xf numFmtId="0" fontId="0" fillId="2" borderId="2" xfId="0" applyNumberFormat="1" applyFill="1" applyBorder="1" applyAlignment="1">
      <alignment horizontal="centerContinuous" wrapText="1"/>
    </xf>
    <xf numFmtId="0" fontId="0" fillId="2" borderId="3" xfId="0" applyNumberFormat="1" applyFill="1" applyBorder="1" applyAlignment="1">
      <alignment horizontal="centerContinuous" wrapText="1"/>
    </xf>
    <xf numFmtId="0" fontId="8" fillId="2" borderId="4" xfId="0" applyFont="1" applyFill="1" applyBorder="1" applyAlignment="1">
      <alignment/>
    </xf>
    <xf numFmtId="0" fontId="7" fillId="3" borderId="9" xfId="0" applyNumberFormat="1" applyFont="1" applyFill="1" applyBorder="1" applyAlignment="1">
      <alignment horizontal="centerContinuous" wrapText="1"/>
    </xf>
    <xf numFmtId="0" fontId="8" fillId="2" borderId="12" xfId="0" applyFont="1" applyFill="1" applyBorder="1" applyAlignment="1">
      <alignment horizontal="centerContinuous"/>
    </xf>
    <xf numFmtId="0" fontId="8" fillId="2" borderId="9" xfId="0" applyFont="1" applyFill="1" applyBorder="1" applyAlignment="1" quotePrefix="1">
      <alignment/>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11" xfId="0" applyFont="1" applyFill="1" applyBorder="1" applyAlignment="1">
      <alignment/>
    </xf>
    <xf numFmtId="0" fontId="8" fillId="2" borderId="11" xfId="0" applyFont="1" applyFill="1" applyBorder="1" applyAlignment="1">
      <alignment horizontal="centerContinuous"/>
    </xf>
    <xf numFmtId="0" fontId="8" fillId="2" borderId="11" xfId="0" applyFont="1" applyFill="1" applyBorder="1" applyAlignment="1">
      <alignment/>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10" xfId="0" applyFont="1" applyFill="1" applyBorder="1" applyAlignment="1" quotePrefix="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9" xfId="0" applyFont="1" applyFill="1" applyBorder="1" applyAlignment="1" quotePrefix="1">
      <alignment horizontal="center" wrapText="1"/>
    </xf>
    <xf numFmtId="0" fontId="8" fillId="2" borderId="8" xfId="0" applyFont="1" applyFill="1" applyBorder="1" applyAlignment="1">
      <alignment horizontal="centerContinuous"/>
    </xf>
    <xf numFmtId="0" fontId="8" fillId="2" borderId="6" xfId="0" applyFont="1" applyFill="1" applyBorder="1" applyAlignment="1">
      <alignment horizontal="center"/>
    </xf>
    <xf numFmtId="0" fontId="9" fillId="2" borderId="9" xfId="0" applyNumberFormat="1" applyFont="1" applyFill="1" applyBorder="1" applyAlignment="1" quotePrefix="1">
      <alignment horizontal="center" wrapText="1"/>
    </xf>
    <xf numFmtId="0" fontId="7" fillId="2" borderId="6" xfId="0" applyNumberFormat="1" applyFont="1" applyFill="1" applyBorder="1" applyAlignment="1" quotePrefix="1">
      <alignment wrapText="1"/>
    </xf>
    <xf numFmtId="0" fontId="7" fillId="2" borderId="7" xfId="0" applyNumberFormat="1" applyFont="1" applyFill="1" applyBorder="1" applyAlignment="1" quotePrefix="1">
      <alignment wrapText="1"/>
    </xf>
    <xf numFmtId="0" fontId="7" fillId="2" borderId="8" xfId="0" applyNumberFormat="1" applyFont="1" applyFill="1" applyBorder="1" applyAlignment="1" quotePrefix="1">
      <alignment/>
    </xf>
    <xf numFmtId="0" fontId="7" fillId="3" borderId="12" xfId="0" applyFont="1" applyFill="1" applyBorder="1" applyAlignment="1">
      <alignment horizontal="centerContinuous"/>
    </xf>
    <xf numFmtId="0" fontId="1" fillId="2" borderId="1" xfId="0" applyNumberFormat="1" applyFont="1" applyFill="1" applyBorder="1" applyAlignment="1">
      <alignment/>
    </xf>
    <xf numFmtId="0" fontId="9" fillId="2" borderId="0" xfId="0" applyFont="1" applyFill="1" applyBorder="1" applyAlignment="1" quotePrefix="1">
      <alignment horizontal="center"/>
    </xf>
    <xf numFmtId="0" fontId="9" fillId="2" borderId="9" xfId="0" applyFont="1" applyFill="1" applyBorder="1" applyAlignment="1" quotePrefix="1">
      <alignmen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quotePrefix="1">
      <alignment horizontal="center" vertical="center"/>
    </xf>
    <xf numFmtId="0" fontId="9" fillId="2" borderId="8" xfId="0" applyFont="1" applyFill="1" applyBorder="1" applyAlignment="1">
      <alignment horizontal="center"/>
    </xf>
    <xf numFmtId="0" fontId="10" fillId="2" borderId="9" xfId="0" applyFont="1" applyFill="1" applyBorder="1" applyAlignment="1">
      <alignment horizontal="center"/>
    </xf>
    <xf numFmtId="0" fontId="9" fillId="2" borderId="9" xfId="0" applyFont="1" applyFill="1" applyBorder="1" applyAlignment="1">
      <alignment horizontal="left"/>
    </xf>
    <xf numFmtId="0" fontId="9" fillId="2" borderId="9" xfId="0" applyFont="1" applyFill="1" applyBorder="1" applyAlignment="1" quotePrefix="1">
      <alignment horizontal="left"/>
    </xf>
    <xf numFmtId="0" fontId="8" fillId="2" borderId="0" xfId="0" applyFont="1" applyFill="1" applyBorder="1" applyAlignment="1" quotePrefix="1">
      <alignment/>
    </xf>
    <xf numFmtId="0" fontId="9" fillId="2" borderId="0" xfId="0" applyFont="1" applyFill="1" applyBorder="1" applyAlignment="1" quotePrefix="1">
      <alignment horizontal="left"/>
    </xf>
    <xf numFmtId="14" fontId="8" fillId="3" borderId="9" xfId="0" applyNumberFormat="1" applyFont="1" applyFill="1" applyBorder="1" applyAlignment="1">
      <alignment horizontal="center" vertical="center"/>
    </xf>
    <xf numFmtId="0" fontId="0" fillId="2" borderId="0" xfId="0" applyFont="1" applyFill="1" applyAlignment="1">
      <alignment/>
    </xf>
    <xf numFmtId="0" fontId="0" fillId="2" borderId="0" xfId="0" applyFont="1" applyFill="1" applyBorder="1" applyAlignment="1">
      <alignment/>
    </xf>
    <xf numFmtId="49" fontId="9" fillId="2" borderId="9" xfId="0" applyNumberFormat="1" applyFont="1" applyFill="1" applyBorder="1" applyAlignment="1">
      <alignment horizontal="center"/>
    </xf>
    <xf numFmtId="0" fontId="12" fillId="2" borderId="8" xfId="0" applyNumberFormat="1" applyFont="1" applyFill="1" applyBorder="1" applyAlignment="1">
      <alignment/>
    </xf>
    <xf numFmtId="0" fontId="12" fillId="2" borderId="6" xfId="0" applyNumberFormat="1" applyFont="1" applyFill="1" applyBorder="1" applyAlignment="1">
      <alignment/>
    </xf>
    <xf numFmtId="0" fontId="0" fillId="2" borderId="1" xfId="0" applyFill="1" applyBorder="1" applyAlignment="1">
      <alignment horizontal="right"/>
    </xf>
    <xf numFmtId="0" fontId="0" fillId="2" borderId="0" xfId="0" applyFill="1" applyBorder="1" applyAlignment="1">
      <alignment horizontal="right"/>
    </xf>
    <xf numFmtId="0" fontId="7" fillId="3" borderId="0" xfId="0" applyFont="1" applyFill="1" applyBorder="1" applyAlignment="1" applyProtection="1">
      <alignment horizontal="left"/>
      <protection/>
    </xf>
    <xf numFmtId="0" fontId="0" fillId="3" borderId="0" xfId="0" applyFill="1" applyBorder="1" applyAlignment="1">
      <alignment horizontal="left"/>
    </xf>
    <xf numFmtId="0" fontId="0" fillId="3" borderId="0" xfId="0" applyFill="1" applyBorder="1" applyAlignment="1">
      <alignment horizontal="center"/>
    </xf>
    <xf numFmtId="0" fontId="0" fillId="3" borderId="0" xfId="0" applyFill="1" applyBorder="1" applyAlignment="1">
      <alignment/>
    </xf>
    <xf numFmtId="167" fontId="0" fillId="2" borderId="1" xfId="0" applyNumberFormat="1" applyFill="1" applyBorder="1" applyAlignment="1">
      <alignment horizontal="center"/>
    </xf>
    <xf numFmtId="0" fontId="7" fillId="3" borderId="0" xfId="0" applyFont="1" applyFill="1" applyBorder="1" applyAlignment="1">
      <alignment horizontal="left"/>
    </xf>
    <xf numFmtId="0" fontId="1" fillId="3" borderId="0" xfId="0" applyFont="1" applyFill="1" applyBorder="1" applyAlignment="1">
      <alignment horizontal="center"/>
    </xf>
    <xf numFmtId="0" fontId="0" fillId="2" borderId="0" xfId="0" applyFill="1" applyBorder="1" applyAlignment="1">
      <alignment horizontal="left"/>
    </xf>
    <xf numFmtId="0" fontId="7"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0" borderId="0" xfId="0" applyFont="1" applyAlignment="1">
      <alignment/>
    </xf>
    <xf numFmtId="0" fontId="7" fillId="2" borderId="8" xfId="0" applyNumberFormat="1" applyFont="1" applyFill="1" applyBorder="1" applyAlignment="1" quotePrefix="1">
      <alignment horizontal="centerContinuous"/>
    </xf>
    <xf numFmtId="0" fontId="7" fillId="2" borderId="6" xfId="0" applyNumberFormat="1" applyFont="1" applyFill="1" applyBorder="1" applyAlignment="1" quotePrefix="1">
      <alignment horizontal="center" wrapText="1"/>
    </xf>
    <xf numFmtId="0" fontId="7" fillId="2" borderId="7" xfId="0" applyNumberFormat="1" applyFont="1" applyFill="1" applyBorder="1" applyAlignment="1" quotePrefix="1">
      <alignment horizontal="center" wrapText="1"/>
    </xf>
    <xf numFmtId="0" fontId="9" fillId="2" borderId="9" xfId="0" applyFont="1" applyFill="1" applyBorder="1" applyAlignment="1">
      <alignment horizontal="center"/>
    </xf>
    <xf numFmtId="0" fontId="7" fillId="3" borderId="0" xfId="0" applyFont="1" applyFill="1" applyBorder="1" applyAlignment="1">
      <alignment horizontal="center"/>
    </xf>
    <xf numFmtId="0" fontId="8" fillId="3" borderId="9" xfId="0" applyFont="1" applyFill="1" applyBorder="1" applyAlignment="1" applyProtection="1">
      <alignment horizontal="center"/>
      <protection locked="0"/>
    </xf>
    <xf numFmtId="0" fontId="7" fillId="3" borderId="10" xfId="0" applyNumberFormat="1" applyFont="1" applyFill="1" applyBorder="1" applyAlignment="1">
      <alignment horizontal="centerContinuous" vertical="center" wrapText="1"/>
    </xf>
    <xf numFmtId="0" fontId="8" fillId="3" borderId="6" xfId="0" applyFont="1" applyFill="1" applyBorder="1" applyAlignment="1">
      <alignment vertical="center"/>
    </xf>
    <xf numFmtId="0" fontId="7" fillId="3" borderId="9" xfId="0" applyFont="1" applyFill="1" applyBorder="1" applyAlignment="1">
      <alignment horizontal="center" vertical="center"/>
    </xf>
    <xf numFmtId="0" fontId="9" fillId="2" borderId="9" xfId="0" applyNumberFormat="1" applyFont="1" applyFill="1" applyBorder="1" applyAlignment="1" quotePrefix="1">
      <alignment wrapText="1"/>
    </xf>
    <xf numFmtId="0" fontId="8" fillId="3" borderId="6" xfId="0" applyFont="1" applyFill="1" applyBorder="1" applyAlignment="1">
      <alignment/>
    </xf>
    <xf numFmtId="0" fontId="8" fillId="3" borderId="9" xfId="0" applyNumberFormat="1" applyFont="1" applyFill="1" applyBorder="1" applyAlignment="1">
      <alignment horizontal="center"/>
    </xf>
    <xf numFmtId="0" fontId="7" fillId="2" borderId="0" xfId="0" applyNumberFormat="1" applyFont="1" applyFill="1" applyBorder="1" applyAlignment="1" quotePrefix="1">
      <alignment horizontal="centerContinuous"/>
    </xf>
    <xf numFmtId="0" fontId="7" fillId="2" borderId="0" xfId="0" applyNumberFormat="1" applyFont="1" applyFill="1" applyBorder="1" applyAlignment="1" quotePrefix="1">
      <alignment horizontal="center" wrapText="1"/>
    </xf>
    <xf numFmtId="0" fontId="0" fillId="0" borderId="0" xfId="0" applyBorder="1" applyAlignment="1">
      <alignment/>
    </xf>
    <xf numFmtId="168" fontId="7" fillId="3" borderId="1" xfId="0" applyNumberFormat="1" applyFont="1" applyFill="1" applyBorder="1" applyAlignment="1">
      <alignment horizontal="center"/>
    </xf>
    <xf numFmtId="168" fontId="7" fillId="3" borderId="0" xfId="0" applyNumberFormat="1" applyFont="1" applyFill="1" applyBorder="1" applyAlignment="1">
      <alignment horizontal="left"/>
    </xf>
    <xf numFmtId="0" fontId="7" fillId="3" borderId="5" xfId="0" applyFont="1" applyFill="1" applyBorder="1" applyAlignment="1">
      <alignment horizontal="center"/>
    </xf>
    <xf numFmtId="1" fontId="8" fillId="2" borderId="0" xfId="0" applyNumberFormat="1" applyFont="1" applyFill="1" applyBorder="1" applyAlignment="1">
      <alignment horizontal="center"/>
    </xf>
    <xf numFmtId="0" fontId="7" fillId="3" borderId="9" xfId="0" applyFont="1" applyFill="1" applyBorder="1" applyAlignment="1">
      <alignment horizontal="centerContinuous"/>
    </xf>
    <xf numFmtId="0" fontId="8" fillId="2" borderId="1" xfId="0" applyFont="1" applyFill="1" applyBorder="1" applyAlignment="1">
      <alignment/>
    </xf>
    <xf numFmtId="0" fontId="7" fillId="3" borderId="9" xfId="0" applyFont="1" applyFill="1" applyBorder="1" applyAlignment="1">
      <alignment horizontal="left"/>
    </xf>
    <xf numFmtId="0" fontId="10" fillId="2" borderId="6" xfId="0" applyFont="1" applyFill="1" applyBorder="1" applyAlignment="1">
      <alignment horizontal="center"/>
    </xf>
    <xf numFmtId="0" fontId="9" fillId="2" borderId="6" xfId="0" applyFont="1" applyFill="1" applyBorder="1" applyAlignment="1">
      <alignment horizontal="left"/>
    </xf>
    <xf numFmtId="0" fontId="9" fillId="2" borderId="6" xfId="0" applyFont="1" applyFill="1" applyBorder="1" applyAlignment="1" quotePrefix="1">
      <alignment horizontal="left"/>
    </xf>
    <xf numFmtId="0" fontId="10" fillId="2" borderId="0"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1" fontId="9" fillId="2" borderId="0" xfId="0" applyNumberFormat="1" applyFont="1" applyFill="1" applyBorder="1" applyAlignment="1">
      <alignment horizontal="center"/>
    </xf>
    <xf numFmtId="0" fontId="8" fillId="3" borderId="12" xfId="0" applyFont="1" applyFill="1" applyBorder="1" applyAlignment="1">
      <alignment horizontal="centerContinuous"/>
    </xf>
    <xf numFmtId="0" fontId="0" fillId="0" borderId="0" xfId="0" applyFont="1" applyAlignment="1">
      <alignment/>
    </xf>
    <xf numFmtId="0" fontId="8" fillId="2" borderId="1" xfId="0" applyFont="1" applyFill="1" applyBorder="1" applyAlignment="1">
      <alignment/>
    </xf>
    <xf numFmtId="0" fontId="9" fillId="2" borderId="14" xfId="0" applyFont="1" applyFill="1" applyBorder="1" applyAlignment="1">
      <alignment horizontal="center"/>
    </xf>
    <xf numFmtId="0" fontId="9" fillId="2" borderId="15" xfId="0" applyFont="1" applyFill="1" applyBorder="1" applyAlignment="1">
      <alignment horizontal="center"/>
    </xf>
    <xf numFmtId="0" fontId="8" fillId="2" borderId="7" xfId="0" applyFont="1" applyFill="1" applyBorder="1" applyAlignment="1">
      <alignment/>
    </xf>
    <xf numFmtId="14" fontId="8" fillId="2" borderId="9" xfId="0" applyNumberFormat="1" applyFont="1" applyFill="1" applyBorder="1" applyAlignment="1">
      <alignment horizontal="center"/>
    </xf>
    <xf numFmtId="170" fontId="9" fillId="2" borderId="0" xfId="0" applyNumberFormat="1" applyFont="1" applyFill="1" applyBorder="1" applyAlignment="1">
      <alignment horizontal="left"/>
    </xf>
    <xf numFmtId="0" fontId="26" fillId="2" borderId="9" xfId="0" applyFont="1" applyFill="1" applyBorder="1" applyAlignment="1">
      <alignment/>
    </xf>
    <xf numFmtId="0" fontId="16" fillId="2" borderId="0" xfId="0" applyFont="1" applyFill="1" applyBorder="1" applyAlignment="1">
      <alignment horizontal="left"/>
    </xf>
    <xf numFmtId="170" fontId="9" fillId="2" borderId="9" xfId="0" applyNumberFormat="1" applyFont="1" applyFill="1" applyBorder="1" applyAlignment="1">
      <alignment horizontal="center"/>
    </xf>
    <xf numFmtId="0" fontId="8" fillId="2" borderId="0" xfId="0" applyFont="1" applyFill="1" applyBorder="1" applyAlignment="1">
      <alignment horizontal="centerContinuous" wrapText="1"/>
    </xf>
    <xf numFmtId="0" fontId="14" fillId="2" borderId="0" xfId="0" applyFont="1" applyFill="1" applyBorder="1" applyAlignment="1">
      <alignment horizontal="centerContinuous" vertical="center" wrapText="1"/>
    </xf>
    <xf numFmtId="0" fontId="7" fillId="2" borderId="9" xfId="0" applyFont="1" applyFill="1" applyBorder="1" applyAlignment="1">
      <alignment/>
    </xf>
    <xf numFmtId="170" fontId="7" fillId="2" borderId="9" xfId="0" applyNumberFormat="1" applyFont="1" applyFill="1" applyBorder="1" applyAlignment="1">
      <alignment/>
    </xf>
    <xf numFmtId="0" fontId="8" fillId="2" borderId="0" xfId="0" applyFont="1" applyFill="1" applyBorder="1" applyAlignment="1">
      <alignment/>
    </xf>
    <xf numFmtId="0" fontId="8" fillId="2" borderId="5" xfId="0" applyFont="1" applyFill="1" applyBorder="1" applyAlignment="1">
      <alignment/>
    </xf>
    <xf numFmtId="0" fontId="7" fillId="0" borderId="0" xfId="0" applyFont="1" applyAlignment="1">
      <alignment/>
    </xf>
    <xf numFmtId="0" fontId="9" fillId="2" borderId="9" xfId="0" applyFont="1" applyFill="1" applyBorder="1" applyAlignment="1">
      <alignment horizontal="centerContinuous" wrapText="1"/>
    </xf>
    <xf numFmtId="1" fontId="9" fillId="2" borderId="9" xfId="0" applyNumberFormat="1" applyFont="1" applyFill="1" applyBorder="1" applyAlignment="1">
      <alignment horizontal="center" vertical="center"/>
    </xf>
    <xf numFmtId="170" fontId="9" fillId="2" borderId="9" xfId="0" applyNumberFormat="1" applyFont="1" applyFill="1" applyBorder="1" applyAlignment="1">
      <alignment vertical="center"/>
    </xf>
    <xf numFmtId="0" fontId="9" fillId="2" borderId="9" xfId="0" applyFont="1" applyFill="1" applyBorder="1" applyAlignment="1">
      <alignment vertical="center"/>
    </xf>
    <xf numFmtId="0" fontId="16" fillId="2" borderId="9" xfId="0" applyFont="1" applyFill="1" applyBorder="1" applyAlignment="1">
      <alignment/>
    </xf>
    <xf numFmtId="0" fontId="16" fillId="2" borderId="9" xfId="0" applyFont="1" applyFill="1" applyBorder="1" applyAlignment="1">
      <alignment horizontal="left"/>
    </xf>
    <xf numFmtId="0" fontId="16" fillId="2" borderId="9" xfId="0" applyFont="1" applyFill="1" applyBorder="1" applyAlignment="1">
      <alignment horizontal="left"/>
    </xf>
    <xf numFmtId="0" fontId="16" fillId="2" borderId="9" xfId="0" applyFont="1" applyFill="1" applyBorder="1" applyAlignment="1">
      <alignment/>
    </xf>
    <xf numFmtId="0" fontId="31" fillId="2" borderId="9" xfId="0" applyFont="1" applyFill="1" applyBorder="1" applyAlignment="1">
      <alignment/>
    </xf>
    <xf numFmtId="0" fontId="9" fillId="0" borderId="0" xfId="0" applyFont="1" applyAlignment="1">
      <alignment/>
    </xf>
    <xf numFmtId="0" fontId="0" fillId="2" borderId="12" xfId="0" applyFont="1" applyFill="1" applyBorder="1" applyAlignment="1">
      <alignment/>
    </xf>
    <xf numFmtId="0" fontId="0" fillId="2" borderId="8" xfId="0" applyFill="1" applyBorder="1" applyAlignment="1">
      <alignment horizontal="center" vertical="center"/>
    </xf>
    <xf numFmtId="0" fontId="7" fillId="2" borderId="6" xfId="0" applyFont="1" applyFill="1" applyBorder="1" applyAlignment="1">
      <alignment horizontal="centerContinuous" vertical="center" wrapText="1"/>
    </xf>
    <xf numFmtId="0" fontId="0" fillId="2" borderId="6" xfId="0" applyFill="1" applyBorder="1" applyAlignment="1">
      <alignment horizontal="centerContinuous" vertical="center"/>
    </xf>
    <xf numFmtId="0" fontId="7" fillId="3" borderId="6" xfId="0" applyFont="1" applyFill="1" applyBorder="1" applyAlignment="1">
      <alignment horizontal="left"/>
    </xf>
    <xf numFmtId="0" fontId="7" fillId="3" borderId="7" xfId="0" applyFont="1" applyFill="1" applyBorder="1" applyAlignment="1">
      <alignment horizontal="center"/>
    </xf>
    <xf numFmtId="0" fontId="24" fillId="0" borderId="0" xfId="0" applyFont="1" applyAlignment="1">
      <alignment/>
    </xf>
    <xf numFmtId="0" fontId="7" fillId="3" borderId="9" xfId="0" applyFont="1" applyFill="1" applyBorder="1" applyAlignment="1" quotePrefix="1">
      <alignment horizontal="center"/>
    </xf>
    <xf numFmtId="0" fontId="9" fillId="2" borderId="0" xfId="0" applyFont="1" applyFill="1" applyBorder="1" applyAlignment="1" quotePrefix="1">
      <alignment horizontal="center"/>
    </xf>
    <xf numFmtId="0" fontId="7" fillId="2" borderId="1" xfId="0" applyFont="1" applyFill="1" applyBorder="1" applyAlignment="1">
      <alignment/>
    </xf>
    <xf numFmtId="0" fontId="1" fillId="2" borderId="8"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2" borderId="10" xfId="0" applyFont="1" applyFill="1" applyBorder="1" applyAlignment="1">
      <alignment horizontal="center"/>
    </xf>
    <xf numFmtId="0" fontId="0" fillId="2" borderId="5" xfId="0" applyFont="1" applyFill="1" applyBorder="1" applyAlignment="1">
      <alignment/>
    </xf>
    <xf numFmtId="0" fontId="0" fillId="2" borderId="10" xfId="0" applyFont="1" applyFill="1" applyBorder="1" applyAlignment="1">
      <alignment horizontal="right"/>
    </xf>
    <xf numFmtId="0" fontId="8" fillId="2" borderId="0" xfId="0" applyFont="1" applyFill="1" applyBorder="1" applyAlignment="1">
      <alignment horizontal="center"/>
    </xf>
    <xf numFmtId="0" fontId="0" fillId="2" borderId="5" xfId="0" applyFont="1" applyFill="1" applyBorder="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center"/>
    </xf>
    <xf numFmtId="0" fontId="1" fillId="2" borderId="10" xfId="0" applyFont="1" applyFill="1" applyBorder="1" applyAlignment="1">
      <alignment horizontal="center"/>
    </xf>
    <xf numFmtId="0" fontId="0" fillId="2" borderId="1" xfId="0" applyFont="1" applyFill="1" applyBorder="1" applyAlignment="1">
      <alignment/>
    </xf>
    <xf numFmtId="0" fontId="0" fillId="2" borderId="5" xfId="0" applyFont="1" applyFill="1" applyBorder="1" applyAlignment="1" quotePrefix="1">
      <alignment horizontal="center"/>
    </xf>
    <xf numFmtId="0" fontId="7" fillId="2" borderId="0" xfId="0" applyFont="1" applyFill="1" applyAlignment="1">
      <alignment/>
    </xf>
    <xf numFmtId="0" fontId="0" fillId="2" borderId="2" xfId="0" applyFont="1" applyFill="1" applyBorder="1" applyAlignment="1">
      <alignment/>
    </xf>
    <xf numFmtId="0" fontId="0" fillId="2" borderId="4" xfId="0" applyFont="1" applyFill="1" applyBorder="1" applyAlignment="1">
      <alignment horizontal="center"/>
    </xf>
    <xf numFmtId="0" fontId="0" fillId="2" borderId="14" xfId="0" applyNumberFormat="1" applyFont="1" applyFill="1" applyBorder="1" applyAlignment="1">
      <alignment horizontal="center"/>
    </xf>
    <xf numFmtId="0" fontId="0" fillId="2" borderId="14" xfId="0" applyFont="1" applyFill="1" applyBorder="1" applyAlignment="1">
      <alignment/>
    </xf>
    <xf numFmtId="0" fontId="0" fillId="2" borderId="14" xfId="0" applyFont="1" applyFill="1" applyBorder="1" applyAlignment="1" quotePrefix="1">
      <alignment/>
    </xf>
    <xf numFmtId="0" fontId="0" fillId="2" borderId="15" xfId="0" applyFont="1" applyFill="1" applyBorder="1" applyAlignment="1" quotePrefix="1">
      <alignment/>
    </xf>
    <xf numFmtId="14" fontId="0" fillId="2" borderId="14" xfId="0" applyNumberFormat="1" applyFont="1" applyFill="1" applyBorder="1" applyAlignment="1">
      <alignment horizontal="center"/>
    </xf>
    <xf numFmtId="0" fontId="33" fillId="2" borderId="14" xfId="0" applyFont="1" applyFill="1" applyBorder="1" applyAlignment="1">
      <alignment horizontal="center"/>
    </xf>
    <xf numFmtId="0" fontId="33" fillId="2" borderId="15" xfId="0" applyFont="1" applyFill="1" applyBorder="1" applyAlignment="1">
      <alignment horizontal="center"/>
    </xf>
    <xf numFmtId="14" fontId="0" fillId="2" borderId="13" xfId="0" applyNumberFormat="1" applyFont="1" applyFill="1" applyBorder="1" applyAlignment="1">
      <alignment horizontal="center"/>
    </xf>
    <xf numFmtId="0" fontId="0" fillId="2" borderId="14" xfId="0" applyFont="1" applyFill="1" applyBorder="1" applyAlignment="1">
      <alignment horizontal="center"/>
    </xf>
    <xf numFmtId="0" fontId="0" fillId="2" borderId="14" xfId="0" applyFont="1" applyFill="1" applyBorder="1" applyAlignment="1" quotePrefix="1">
      <alignment horizontal="center"/>
    </xf>
    <xf numFmtId="0" fontId="0" fillId="2" borderId="15" xfId="0" applyFont="1" applyFill="1" applyBorder="1" applyAlignment="1" quotePrefix="1">
      <alignment horizontal="center"/>
    </xf>
    <xf numFmtId="0" fontId="7" fillId="3" borderId="1" xfId="0" applyFont="1" applyFill="1" applyBorder="1" applyAlignment="1">
      <alignment/>
    </xf>
    <xf numFmtId="0" fontId="7" fillId="3" borderId="2" xfId="0" applyFont="1" applyFill="1" applyBorder="1" applyAlignment="1">
      <alignment/>
    </xf>
    <xf numFmtId="0" fontId="0" fillId="2" borderId="8" xfId="0" applyFont="1" applyFill="1" applyBorder="1" applyAlignment="1">
      <alignment horizontal="right"/>
    </xf>
    <xf numFmtId="0" fontId="0" fillId="2" borderId="0" xfId="0" applyFont="1" applyFill="1" applyBorder="1" applyAlignment="1">
      <alignment horizontal="right"/>
    </xf>
    <xf numFmtId="0" fontId="8" fillId="3" borderId="10" xfId="0" applyFont="1" applyFill="1" applyBorder="1" applyAlignment="1" applyProtection="1">
      <alignment horizontal="center"/>
      <protection locked="0"/>
    </xf>
    <xf numFmtId="0" fontId="7" fillId="3" borderId="8" xfId="0" applyFont="1" applyFill="1" applyBorder="1" applyAlignment="1">
      <alignment/>
    </xf>
    <xf numFmtId="0" fontId="0" fillId="3" borderId="7" xfId="0" applyFont="1" applyFill="1" applyBorder="1" applyAlignment="1">
      <alignment horizontal="center"/>
    </xf>
    <xf numFmtId="0" fontId="0" fillId="3" borderId="5" xfId="0" applyFont="1" applyFill="1" applyBorder="1" applyAlignment="1">
      <alignment horizontal="center"/>
    </xf>
    <xf numFmtId="0" fontId="0" fillId="3" borderId="4" xfId="0" applyFont="1" applyFill="1" applyBorder="1" applyAlignment="1">
      <alignment horizontal="center"/>
    </xf>
    <xf numFmtId="167" fontId="0" fillId="2" borderId="9" xfId="0" applyNumberFormat="1" applyFill="1" applyBorder="1" applyAlignment="1" quotePrefix="1">
      <alignment horizontal="center"/>
    </xf>
    <xf numFmtId="0" fontId="7" fillId="3" borderId="10" xfId="0" applyNumberFormat="1" applyFont="1" applyFill="1" applyBorder="1" applyAlignment="1">
      <alignment horizontal="center" wrapText="1"/>
    </xf>
    <xf numFmtId="0" fontId="7" fillId="3" borderId="9" xfId="0" applyNumberFormat="1" applyFont="1" applyFill="1" applyBorder="1" applyAlignment="1">
      <alignment horizontal="center" wrapText="1"/>
    </xf>
    <xf numFmtId="14" fontId="10" fillId="2" borderId="9" xfId="0" applyNumberFormat="1" applyFont="1" applyFill="1" applyBorder="1" applyAlignment="1">
      <alignment horizontal="center"/>
    </xf>
    <xf numFmtId="0" fontId="9" fillId="2" borderId="10" xfId="0" applyFont="1" applyFill="1" applyBorder="1" applyAlignment="1">
      <alignment horizontal="centerContinuous"/>
    </xf>
    <xf numFmtId="0" fontId="9" fillId="2" borderId="10" xfId="0" applyNumberFormat="1" applyFont="1" applyFill="1" applyBorder="1" applyAlignment="1" quotePrefix="1">
      <alignment wrapText="1"/>
    </xf>
    <xf numFmtId="0" fontId="9" fillId="2" borderId="10" xfId="0" applyNumberFormat="1" applyFont="1" applyFill="1" applyBorder="1" applyAlignment="1" quotePrefix="1">
      <alignment horizontal="center" wrapText="1"/>
    </xf>
    <xf numFmtId="0" fontId="9" fillId="2" borderId="10" xfId="0" applyFont="1" applyFill="1" applyBorder="1" applyAlignment="1" quotePrefix="1">
      <alignment horizontal="center"/>
    </xf>
    <xf numFmtId="0" fontId="9" fillId="2" borderId="16" xfId="0" applyFont="1" applyFill="1" applyBorder="1" applyAlignment="1">
      <alignment horizontal="centerContinuous"/>
    </xf>
    <xf numFmtId="14" fontId="9" fillId="2" borderId="17" xfId="0" applyNumberFormat="1" applyFont="1" applyFill="1" applyBorder="1" applyAlignment="1">
      <alignment horizontal="centerContinuous"/>
    </xf>
    <xf numFmtId="14" fontId="9" fillId="2" borderId="18" xfId="0" applyNumberFormat="1" applyFont="1" applyFill="1" applyBorder="1" applyAlignment="1">
      <alignment horizontal="centerContinuous"/>
    </xf>
    <xf numFmtId="0" fontId="7" fillId="3" borderId="19" xfId="0" applyNumberFormat="1" applyFont="1" applyFill="1" applyBorder="1" applyAlignment="1">
      <alignment horizontal="centerContinuous" wrapText="1"/>
    </xf>
    <xf numFmtId="0" fontId="0" fillId="2" borderId="20" xfId="0" applyNumberFormat="1" applyFill="1" applyBorder="1" applyAlignment="1">
      <alignment horizontal="centerContinuous" wrapText="1"/>
    </xf>
    <xf numFmtId="0" fontId="9" fillId="2" borderId="19" xfId="0" applyNumberFormat="1" applyFont="1" applyFill="1" applyBorder="1" applyAlignment="1" quotePrefix="1">
      <alignment horizontal="centerContinuous" wrapText="1"/>
    </xf>
    <xf numFmtId="0" fontId="9" fillId="2" borderId="20" xfId="0" applyNumberFormat="1" applyFont="1" applyFill="1" applyBorder="1" applyAlignment="1" quotePrefix="1">
      <alignment horizontal="centerContinuous" wrapText="1"/>
    </xf>
    <xf numFmtId="0" fontId="9" fillId="2" borderId="20" xfId="0" applyFont="1" applyFill="1" applyBorder="1" applyAlignment="1" quotePrefix="1">
      <alignment horizontal="center"/>
    </xf>
    <xf numFmtId="0" fontId="9" fillId="2" borderId="19" xfId="0" applyFont="1" applyFill="1" applyBorder="1" applyAlignment="1" quotePrefix="1">
      <alignment horizontal="center"/>
    </xf>
    <xf numFmtId="0" fontId="9" fillId="2" borderId="21" xfId="0" applyFont="1" applyFill="1" applyBorder="1" applyAlignment="1" quotePrefix="1">
      <alignment horizontal="center"/>
    </xf>
    <xf numFmtId="0" fontId="9" fillId="2" borderId="22" xfId="0" applyFont="1" applyFill="1" applyBorder="1" applyAlignment="1" quotePrefix="1">
      <alignment horizontal="center"/>
    </xf>
    <xf numFmtId="0" fontId="9" fillId="2" borderId="23" xfId="0" applyFont="1" applyFill="1" applyBorder="1" applyAlignment="1" quotePrefix="1">
      <alignment horizontal="center"/>
    </xf>
    <xf numFmtId="14" fontId="0" fillId="2" borderId="9" xfId="0" applyNumberFormat="1" applyFill="1" applyBorder="1" applyAlignment="1" quotePrefix="1">
      <alignment horizontal="center"/>
    </xf>
    <xf numFmtId="0" fontId="7" fillId="3" borderId="9" xfId="0" applyFont="1" applyFill="1" applyBorder="1" applyAlignment="1" quotePrefix="1">
      <alignment horizontal="center"/>
    </xf>
    <xf numFmtId="0" fontId="0" fillId="0" borderId="0" xfId="0" applyFont="1" applyAlignment="1">
      <alignment/>
    </xf>
    <xf numFmtId="165" fontId="5" fillId="3" borderId="0" xfId="0" applyNumberFormat="1" applyFont="1" applyFill="1" applyBorder="1" applyAlignment="1" applyProtection="1">
      <alignment horizontal="center"/>
      <protection locked="0"/>
    </xf>
    <xf numFmtId="14" fontId="0" fillId="0" borderId="9" xfId="0" applyNumberFormat="1" applyBorder="1" applyAlignment="1">
      <alignment horizontal="center"/>
    </xf>
    <xf numFmtId="0" fontId="0" fillId="0" borderId="9" xfId="0" applyBorder="1" applyAlignment="1" quotePrefix="1">
      <alignment/>
    </xf>
    <xf numFmtId="0" fontId="0" fillId="0" borderId="9" xfId="0" applyBorder="1" applyAlignment="1" quotePrefix="1">
      <alignment horizontal="center"/>
    </xf>
    <xf numFmtId="0" fontId="0" fillId="0" borderId="9" xfId="0" applyBorder="1" applyAlignment="1">
      <alignment horizontal="center"/>
    </xf>
    <xf numFmtId="0" fontId="0" fillId="3" borderId="24" xfId="0" applyFill="1" applyBorder="1" applyAlignment="1">
      <alignment horizontal="center" vertical="top"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0" fillId="3" borderId="0" xfId="0" applyFill="1" applyBorder="1" applyAlignment="1">
      <alignment horizontal="center" vertical="top" wrapText="1"/>
    </xf>
    <xf numFmtId="0" fontId="0" fillId="3" borderId="28" xfId="0" applyFill="1" applyBorder="1" applyAlignment="1">
      <alignment horizontal="center" vertical="top" wrapText="1"/>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0" fillId="3" borderId="31" xfId="0" applyFill="1" applyBorder="1" applyAlignment="1">
      <alignment horizontal="center" vertical="top" wrapText="1"/>
    </xf>
    <xf numFmtId="0" fontId="8" fillId="0" borderId="8" xfId="0" applyFont="1" applyFill="1" applyBorder="1" applyAlignment="1">
      <alignment/>
    </xf>
    <xf numFmtId="0" fontId="12" fillId="0" borderId="6" xfId="0" applyFont="1" applyFill="1" applyBorder="1" applyAlignment="1">
      <alignment/>
    </xf>
    <xf numFmtId="0" fontId="1" fillId="0" borderId="6" xfId="0" applyFont="1" applyFill="1" applyBorder="1" applyAlignment="1">
      <alignment/>
    </xf>
    <xf numFmtId="0" fontId="0" fillId="0" borderId="6" xfId="0" applyFill="1" applyBorder="1" applyAlignment="1">
      <alignment/>
    </xf>
    <xf numFmtId="0" fontId="0" fillId="0" borderId="6" xfId="0" applyFill="1" applyBorder="1" applyAlignment="1">
      <alignment/>
    </xf>
    <xf numFmtId="0" fontId="0" fillId="0" borderId="7" xfId="0" applyFill="1" applyBorder="1" applyAlignment="1">
      <alignment/>
    </xf>
    <xf numFmtId="0" fontId="8" fillId="0" borderId="1" xfId="0" applyFont="1" applyFill="1" applyBorder="1" applyAlignment="1">
      <alignment/>
    </xf>
    <xf numFmtId="0" fontId="0" fillId="0" borderId="0" xfId="0" applyFill="1" applyBorder="1" applyAlignment="1">
      <alignment/>
    </xf>
    <xf numFmtId="0" fontId="0" fillId="0" borderId="5" xfId="0" applyFill="1" applyBorder="1" applyAlignment="1">
      <alignment/>
    </xf>
    <xf numFmtId="0" fontId="4" fillId="0" borderId="9" xfId="0" applyFont="1" applyFill="1" applyBorder="1" applyAlignment="1">
      <alignment/>
    </xf>
    <xf numFmtId="0" fontId="1" fillId="0" borderId="8" xfId="0" applyFont="1" applyFill="1" applyBorder="1" applyAlignment="1">
      <alignment/>
    </xf>
    <xf numFmtId="0" fontId="7" fillId="0" borderId="7" xfId="0" applyFont="1" applyFill="1" applyBorder="1" applyAlignment="1">
      <alignment horizontal="center"/>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0" xfId="0" applyFill="1" applyBorder="1" applyAlignment="1">
      <alignment horizontal="center"/>
    </xf>
    <xf numFmtId="0" fontId="0" fillId="0" borderId="12" xfId="0" applyFill="1" applyBorder="1" applyAlignment="1">
      <alignment/>
    </xf>
    <xf numFmtId="0" fontId="8" fillId="0" borderId="10" xfId="0" applyFont="1" applyFill="1" applyBorder="1" applyAlignment="1">
      <alignment/>
    </xf>
    <xf numFmtId="0" fontId="7" fillId="0" borderId="12" xfId="0" applyFont="1"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8" fillId="0" borderId="9" xfId="0" applyFont="1" applyFill="1" applyBorder="1" applyAlignment="1">
      <alignment/>
    </xf>
    <xf numFmtId="0" fontId="9" fillId="0" borderId="8" xfId="0" applyFont="1" applyFill="1" applyBorder="1" applyAlignment="1">
      <alignment/>
    </xf>
    <xf numFmtId="0" fontId="7" fillId="0" borderId="10" xfId="0" applyFont="1" applyFill="1" applyBorder="1" applyAlignment="1">
      <alignment horizontal="left"/>
    </xf>
    <xf numFmtId="0" fontId="0" fillId="0" borderId="11" xfId="0" applyFill="1" applyBorder="1" applyAlignment="1">
      <alignment horizontal="center"/>
    </xf>
    <xf numFmtId="166" fontId="15" fillId="0" borderId="0" xfId="0" applyNumberFormat="1" applyFont="1" applyFill="1" applyBorder="1" applyAlignment="1" applyProtection="1">
      <alignment horizontal="center"/>
      <protection hidden="1"/>
    </xf>
    <xf numFmtId="0" fontId="8" fillId="0" borderId="13" xfId="0" applyFont="1" applyFill="1" applyBorder="1" applyAlignment="1">
      <alignment/>
    </xf>
    <xf numFmtId="0" fontId="8" fillId="0" borderId="13" xfId="0" applyFont="1" applyFill="1" applyBorder="1" applyAlignment="1">
      <alignment/>
    </xf>
    <xf numFmtId="0" fontId="16" fillId="0" borderId="11" xfId="0" applyFont="1" applyFill="1" applyBorder="1" applyAlignment="1">
      <alignment horizontal="center"/>
    </xf>
    <xf numFmtId="0" fontId="7" fillId="0" borderId="12" xfId="0" applyFont="1" applyFill="1" applyBorder="1" applyAlignment="1">
      <alignment horizontal="center"/>
    </xf>
    <xf numFmtId="0" fontId="15" fillId="0" borderId="0" xfId="0" applyFont="1" applyFill="1" applyBorder="1" applyAlignment="1">
      <alignment/>
    </xf>
    <xf numFmtId="0" fontId="15" fillId="0" borderId="5" xfId="0" applyFont="1" applyFill="1" applyBorder="1" applyAlignment="1">
      <alignment/>
    </xf>
    <xf numFmtId="0" fontId="16" fillId="0" borderId="11"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9" fillId="0" borderId="10" xfId="0" applyFont="1" applyFill="1" applyBorder="1" applyAlignment="1">
      <alignment horizontal="left"/>
    </xf>
    <xf numFmtId="0" fontId="15" fillId="0" borderId="10" xfId="0" applyFont="1" applyFill="1" applyBorder="1" applyAlignment="1">
      <alignment horizontal="left"/>
    </xf>
    <xf numFmtId="0" fontId="15" fillId="0" borderId="11" xfId="0" applyFont="1" applyFill="1" applyBorder="1" applyAlignment="1">
      <alignment horizontal="center"/>
    </xf>
    <xf numFmtId="0" fontId="15" fillId="0" borderId="12" xfId="0" applyFont="1" applyFill="1" applyBorder="1" applyAlignment="1">
      <alignment horizontal="center"/>
    </xf>
    <xf numFmtId="0" fontId="0" fillId="0" borderId="0" xfId="0" applyFont="1" applyFill="1" applyBorder="1" applyAlignment="1">
      <alignment horizontal="right"/>
    </xf>
    <xf numFmtId="0" fontId="7" fillId="0" borderId="11" xfId="0" applyFont="1" applyFill="1" applyBorder="1" applyAlignment="1">
      <alignment horizontal="center"/>
    </xf>
    <xf numFmtId="0" fontId="0" fillId="0" borderId="12" xfId="0" applyFill="1" applyBorder="1" applyAlignment="1">
      <alignment horizontal="center"/>
    </xf>
    <xf numFmtId="0" fontId="1" fillId="0" borderId="13" xfId="0" applyFont="1" applyFill="1" applyBorder="1" applyAlignment="1">
      <alignment horizontal="center"/>
    </xf>
    <xf numFmtId="0" fontId="1" fillId="0" borderId="10" xfId="0" applyFont="1" applyFill="1" applyBorder="1" applyAlignment="1">
      <alignment horizontal="centerContinuous"/>
    </xf>
    <xf numFmtId="0" fontId="0" fillId="0" borderId="11" xfId="0" applyFill="1" applyBorder="1" applyAlignment="1">
      <alignment horizontal="centerContinuous"/>
    </xf>
    <xf numFmtId="0" fontId="1" fillId="0" borderId="15" xfId="0" applyFont="1" applyFill="1" applyBorder="1" applyAlignment="1">
      <alignment horizontal="center"/>
    </xf>
    <xf numFmtId="0" fontId="1" fillId="0" borderId="9" xfId="0" applyFont="1" applyFill="1" applyBorder="1" applyAlignment="1">
      <alignment horizontal="center"/>
    </xf>
    <xf numFmtId="0" fontId="1" fillId="0" borderId="9" xfId="0" applyFont="1" applyFill="1" applyBorder="1" applyAlignment="1">
      <alignment horizontal="centerContinuous"/>
    </xf>
    <xf numFmtId="0" fontId="7" fillId="0" borderId="9" xfId="0" applyFont="1" applyFill="1" applyBorder="1" applyAlignment="1">
      <alignment horizontal="center"/>
    </xf>
    <xf numFmtId="164" fontId="0" fillId="0" borderId="9" xfId="0" applyNumberFormat="1" applyFill="1" applyBorder="1" applyAlignment="1">
      <alignment horizontal="center"/>
    </xf>
    <xf numFmtId="0" fontId="0" fillId="0" borderId="9" xfId="0" applyFill="1" applyBorder="1" applyAlignment="1">
      <alignment horizontal="center"/>
    </xf>
    <xf numFmtId="1" fontId="7" fillId="0" borderId="9" xfId="0" applyNumberFormat="1" applyFont="1" applyFill="1" applyBorder="1" applyAlignment="1">
      <alignment horizontal="center"/>
    </xf>
    <xf numFmtId="0" fontId="8" fillId="0" borderId="15" xfId="0" applyFont="1" applyFill="1" applyBorder="1" applyAlignment="1">
      <alignment/>
    </xf>
    <xf numFmtId="0" fontId="8" fillId="0" borderId="10" xfId="0" applyFont="1" applyFill="1" applyBorder="1" applyAlignment="1">
      <alignment vertical="center"/>
    </xf>
    <xf numFmtId="167" fontId="7" fillId="0" borderId="12" xfId="0" applyNumberFormat="1" applyFont="1" applyFill="1" applyBorder="1" applyAlignment="1" quotePrefix="1">
      <alignment horizontal="center"/>
    </xf>
    <xf numFmtId="0" fontId="8" fillId="0" borderId="9" xfId="0" applyFont="1" applyFill="1" applyBorder="1" applyAlignment="1">
      <alignment horizontal="center"/>
    </xf>
    <xf numFmtId="0" fontId="8" fillId="0" borderId="9" xfId="0" applyFont="1" applyFill="1" applyBorder="1" applyAlignment="1">
      <alignment horizontal="center"/>
    </xf>
    <xf numFmtId="0" fontId="7" fillId="0" borderId="12" xfId="0" applyFont="1" applyFill="1" applyBorder="1" applyAlignment="1">
      <alignment/>
    </xf>
    <xf numFmtId="0" fontId="8" fillId="0" borderId="9" xfId="0" applyFont="1" applyFill="1" applyBorder="1" applyAlignment="1">
      <alignment horizontal="center" vertical="center"/>
    </xf>
    <xf numFmtId="0" fontId="9" fillId="0" borderId="10" xfId="0" applyFont="1" applyFill="1" applyBorder="1" applyAlignment="1">
      <alignment horizontal="centerContinuous" wrapText="1"/>
    </xf>
    <xf numFmtId="0" fontId="7" fillId="0" borderId="12" xfId="0" applyFont="1" applyFill="1" applyBorder="1" applyAlignment="1">
      <alignment horizontal="centerContinuous" wrapText="1"/>
    </xf>
    <xf numFmtId="167" fontId="7" fillId="0" borderId="12" xfId="0" applyNumberFormat="1" applyFont="1" applyFill="1" applyBorder="1" applyAlignment="1" quotePrefix="1">
      <alignment horizontal="center" vertical="center"/>
    </xf>
    <xf numFmtId="0" fontId="24" fillId="0" borderId="0" xfId="0" applyFont="1" applyFill="1" applyBorder="1" applyAlignment="1">
      <alignment/>
    </xf>
    <xf numFmtId="0" fontId="24" fillId="0" borderId="5" xfId="0" applyFont="1" applyFill="1" applyBorder="1" applyAlignment="1">
      <alignment/>
    </xf>
    <xf numFmtId="167" fontId="7" fillId="0" borderId="12" xfId="0" applyNumberFormat="1" applyFont="1" applyFill="1" applyBorder="1" applyAlignment="1">
      <alignment horizontal="center"/>
    </xf>
    <xf numFmtId="167" fontId="7" fillId="0" borderId="0" xfId="0" applyNumberFormat="1" applyFont="1" applyFill="1" applyBorder="1" applyAlignment="1" quotePrefix="1">
      <alignment horizontal="center"/>
    </xf>
    <xf numFmtId="0" fontId="7" fillId="0" borderId="0"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9" xfId="0" applyFont="1" applyFill="1" applyBorder="1" applyAlignment="1">
      <alignment horizontal="center" vertical="center"/>
    </xf>
    <xf numFmtId="166" fontId="15" fillId="0" borderId="0" xfId="0" applyNumberFormat="1" applyFont="1" applyFill="1" applyBorder="1" applyAlignment="1" applyProtection="1">
      <alignment/>
      <protection hidden="1"/>
    </xf>
    <xf numFmtId="0" fontId="7" fillId="0" borderId="0" xfId="0" applyFont="1" applyFill="1" applyBorder="1" applyAlignment="1">
      <alignment horizontal="center" vertical="center"/>
    </xf>
    <xf numFmtId="0" fontId="9" fillId="0" borderId="11" xfId="0" applyFont="1" applyFill="1" applyBorder="1" applyAlignment="1">
      <alignment horizontal="center"/>
    </xf>
    <xf numFmtId="0" fontId="8" fillId="0" borderId="0" xfId="0" applyFont="1" applyFill="1" applyBorder="1" applyAlignment="1">
      <alignment horizontal="left"/>
    </xf>
    <xf numFmtId="0" fontId="9" fillId="0" borderId="12" xfId="0" applyFont="1" applyFill="1" applyBorder="1" applyAlignment="1">
      <alignment horizontal="center"/>
    </xf>
    <xf numFmtId="0" fontId="7" fillId="0" borderId="0" xfId="0" applyFont="1" applyFill="1" applyBorder="1" applyAlignment="1" quotePrefix="1">
      <alignment horizontal="center"/>
    </xf>
    <xf numFmtId="0" fontId="0" fillId="0" borderId="1" xfId="0" applyFill="1" applyBorder="1" applyAlignment="1">
      <alignment/>
    </xf>
    <xf numFmtId="0" fontId="11" fillId="0" borderId="9" xfId="0"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horizontal="center" vertical="justify"/>
    </xf>
    <xf numFmtId="0" fontId="6" fillId="0" borderId="0" xfId="0" applyFont="1" applyFill="1" applyBorder="1" applyAlignment="1">
      <alignment horizontal="center"/>
    </xf>
    <xf numFmtId="0" fontId="0" fillId="0" borderId="9" xfId="0" applyFill="1" applyBorder="1" applyAlignment="1">
      <alignment/>
    </xf>
    <xf numFmtId="0" fontId="10" fillId="0" borderId="9" xfId="0" applyFont="1" applyFill="1" applyBorder="1" applyAlignment="1">
      <alignment horizontal="center"/>
    </xf>
    <xf numFmtId="0" fontId="13" fillId="0" borderId="0" xfId="0" applyFont="1" applyFill="1" applyBorder="1" applyAlignment="1">
      <alignment horizontal="center"/>
    </xf>
    <xf numFmtId="14" fontId="10" fillId="0" borderId="9" xfId="0" applyNumberFormat="1" applyFont="1" applyFill="1" applyBorder="1" applyAlignment="1">
      <alignment horizontal="center"/>
    </xf>
    <xf numFmtId="0" fontId="8" fillId="0" borderId="2" xfId="0" applyFont="1" applyFill="1" applyBorder="1" applyAlignment="1">
      <alignment/>
    </xf>
    <xf numFmtId="0" fontId="0" fillId="0" borderId="8" xfId="0" applyFill="1" applyBorder="1" applyAlignment="1">
      <alignment/>
    </xf>
    <xf numFmtId="0" fontId="0" fillId="0" borderId="14" xfId="0" applyFill="1" applyBorder="1" applyAlignment="1">
      <alignment/>
    </xf>
    <xf numFmtId="0" fontId="15" fillId="0" borderId="14" xfId="0" applyFont="1" applyFill="1" applyBorder="1" applyAlignment="1">
      <alignment/>
    </xf>
    <xf numFmtId="0" fontId="24" fillId="0" borderId="14" xfId="0" applyFont="1" applyFill="1" applyBorder="1" applyAlignment="1">
      <alignment/>
    </xf>
    <xf numFmtId="0" fontId="0" fillId="0" borderId="15" xfId="0" applyFill="1" applyBorder="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0" fillId="0" borderId="8" xfId="0" applyFill="1" applyBorder="1" applyAlignment="1">
      <alignment horizontal="center"/>
    </xf>
    <xf numFmtId="0" fontId="15" fillId="0" borderId="1" xfId="0" applyFont="1" applyFill="1" applyBorder="1" applyAlignment="1">
      <alignment horizontal="center"/>
    </xf>
    <xf numFmtId="0" fontId="15" fillId="0" borderId="2" xfId="0" applyFont="1" applyFill="1" applyBorder="1" applyAlignment="1">
      <alignment horizontal="center"/>
    </xf>
    <xf numFmtId="166" fontId="15" fillId="0" borderId="3" xfId="0" applyNumberFormat="1" applyFont="1" applyFill="1" applyBorder="1" applyAlignment="1" applyProtection="1">
      <alignment horizontal="center"/>
      <protection hidden="1"/>
    </xf>
    <xf numFmtId="0" fontId="15" fillId="0" borderId="3" xfId="0" applyFont="1" applyFill="1" applyBorder="1" applyAlignment="1">
      <alignment/>
    </xf>
    <xf numFmtId="0" fontId="15" fillId="0" borderId="3" xfId="0" applyNumberFormat="1" applyFont="1" applyFill="1" applyBorder="1" applyAlignment="1" applyProtection="1">
      <alignment horizontal="left"/>
      <protection hidden="1"/>
    </xf>
    <xf numFmtId="0" fontId="24" fillId="0" borderId="1" xfId="0" applyFont="1" applyFill="1" applyBorder="1" applyAlignment="1">
      <alignment/>
    </xf>
    <xf numFmtId="166" fontId="15" fillId="0" borderId="3" xfId="0" applyNumberFormat="1" applyFont="1" applyFill="1" applyBorder="1" applyAlignment="1" applyProtection="1">
      <alignment/>
      <protection hidden="1"/>
    </xf>
    <xf numFmtId="0" fontId="16" fillId="0" borderId="10" xfId="0" applyFont="1" applyFill="1" applyBorder="1" applyAlignment="1">
      <alignment/>
    </xf>
    <xf numFmtId="0" fontId="16" fillId="0" borderId="10" xfId="0" applyFont="1" applyFill="1" applyBorder="1" applyAlignment="1">
      <alignment horizontal="left"/>
    </xf>
    <xf numFmtId="0" fontId="16" fillId="0" borderId="8" xfId="0" applyFont="1" applyFill="1" applyBorder="1" applyAlignment="1">
      <alignment/>
    </xf>
    <xf numFmtId="0" fontId="16" fillId="0" borderId="8" xfId="0" applyFont="1" applyFill="1" applyBorder="1" applyAlignment="1">
      <alignment/>
    </xf>
    <xf numFmtId="0" fontId="16" fillId="4" borderId="10" xfId="0" applyFont="1" applyFill="1" applyBorder="1" applyAlignment="1">
      <alignment/>
    </xf>
    <xf numFmtId="0" fontId="0" fillId="4" borderId="12" xfId="0" applyFill="1" applyBorder="1" applyAlignment="1">
      <alignment/>
    </xf>
    <xf numFmtId="0" fontId="7" fillId="4" borderId="12" xfId="0" applyFont="1" applyFill="1" applyBorder="1" applyAlignment="1">
      <alignment horizontal="center"/>
    </xf>
    <xf numFmtId="0" fontId="0" fillId="4" borderId="10" xfId="0" applyFill="1" applyBorder="1" applyAlignment="1">
      <alignment/>
    </xf>
    <xf numFmtId="0" fontId="0" fillId="4" borderId="11" xfId="0" applyFill="1" applyBorder="1" applyAlignment="1">
      <alignment/>
    </xf>
    <xf numFmtId="0" fontId="0" fillId="4" borderId="7" xfId="0" applyFill="1" applyBorder="1" applyAlignment="1">
      <alignment/>
    </xf>
    <xf numFmtId="0" fontId="0" fillId="4" borderId="14" xfId="0" applyFill="1" applyBorder="1" applyAlignment="1">
      <alignment/>
    </xf>
    <xf numFmtId="0" fontId="0" fillId="4" borderId="15" xfId="0" applyFill="1" applyBorder="1" applyAlignment="1">
      <alignment/>
    </xf>
    <xf numFmtId="0" fontId="16" fillId="4" borderId="10" xfId="0" applyFont="1" applyFill="1" applyBorder="1" applyAlignment="1">
      <alignment horizontal="left"/>
    </xf>
    <xf numFmtId="0" fontId="9" fillId="4" borderId="11" xfId="0" applyFont="1" applyFill="1" applyBorder="1" applyAlignment="1">
      <alignment horizontal="center"/>
    </xf>
    <xf numFmtId="0" fontId="9" fillId="4" borderId="12" xfId="0" applyFont="1" applyFill="1" applyBorder="1" applyAlignment="1">
      <alignment horizontal="center"/>
    </xf>
    <xf numFmtId="0" fontId="0" fillId="4" borderId="8" xfId="0" applyFill="1" applyBorder="1" applyAlignment="1">
      <alignment/>
    </xf>
    <xf numFmtId="0" fontId="0" fillId="4" borderId="6" xfId="0" applyFill="1" applyBorder="1" applyAlignment="1">
      <alignment/>
    </xf>
    <xf numFmtId="0" fontId="9" fillId="4" borderId="10" xfId="0" applyFont="1" applyFill="1" applyBorder="1" applyAlignment="1">
      <alignment horizontal="left"/>
    </xf>
    <xf numFmtId="0" fontId="0" fillId="4" borderId="12" xfId="0" applyFill="1" applyBorder="1" applyAlignment="1">
      <alignment horizontal="center"/>
    </xf>
    <xf numFmtId="0" fontId="7" fillId="4" borderId="12" xfId="0" applyFont="1" applyFill="1" applyBorder="1" applyAlignment="1">
      <alignment horizontal="center"/>
    </xf>
    <xf numFmtId="0" fontId="0" fillId="4" borderId="1" xfId="0" applyFill="1" applyBorder="1" applyAlignment="1">
      <alignment/>
    </xf>
    <xf numFmtId="166" fontId="15" fillId="4" borderId="0" xfId="0" applyNumberFormat="1" applyFont="1" applyFill="1" applyBorder="1" applyAlignment="1" applyProtection="1">
      <alignment/>
      <protection hidden="1"/>
    </xf>
    <xf numFmtId="0" fontId="0" fillId="4" borderId="0" xfId="0" applyFill="1" applyBorder="1" applyAlignment="1">
      <alignment/>
    </xf>
    <xf numFmtId="0" fontId="0" fillId="4" borderId="5" xfId="0" applyFill="1" applyBorder="1" applyAlignment="1">
      <alignment/>
    </xf>
    <xf numFmtId="0" fontId="0" fillId="4" borderId="2" xfId="0" applyFill="1" applyBorder="1" applyAlignment="1">
      <alignment/>
    </xf>
    <xf numFmtId="166" fontId="15" fillId="4" borderId="3" xfId="0" applyNumberFormat="1" applyFont="1" applyFill="1" applyBorder="1" applyAlignment="1" applyProtection="1">
      <alignment/>
      <protection hidden="1"/>
    </xf>
    <xf numFmtId="0" fontId="0" fillId="4" borderId="3" xfId="0" applyFill="1" applyBorder="1" applyAlignment="1">
      <alignment/>
    </xf>
    <xf numFmtId="0" fontId="0" fillId="4" borderId="11" xfId="0" applyFill="1" applyBorder="1" applyAlignment="1">
      <alignment horizontal="center"/>
    </xf>
    <xf numFmtId="0" fontId="7" fillId="4" borderId="12" xfId="0" applyFont="1" applyFill="1" applyBorder="1" applyAlignment="1" quotePrefix="1">
      <alignment horizontal="center"/>
    </xf>
    <xf numFmtId="0" fontId="0" fillId="4" borderId="4" xfId="0" applyFill="1" applyBorder="1" applyAlignment="1">
      <alignment/>
    </xf>
    <xf numFmtId="0" fontId="0" fillId="4" borderId="13" xfId="0" applyFill="1" applyBorder="1" applyAlignment="1">
      <alignment/>
    </xf>
    <xf numFmtId="0" fontId="24" fillId="4" borderId="14" xfId="0" applyFont="1" applyFill="1" applyBorder="1" applyAlignment="1">
      <alignment/>
    </xf>
    <xf numFmtId="0" fontId="15" fillId="4" borderId="14" xfId="0" applyFont="1" applyFill="1" applyBorder="1" applyAlignment="1">
      <alignment/>
    </xf>
    <xf numFmtId="0" fontId="9" fillId="4" borderId="11" xfId="0" applyFont="1" applyFill="1" applyBorder="1" applyAlignment="1">
      <alignment horizontal="right"/>
    </xf>
    <xf numFmtId="0" fontId="0" fillId="4" borderId="1" xfId="0" applyFill="1" applyBorder="1" applyAlignment="1">
      <alignment horizontal="center"/>
    </xf>
    <xf numFmtId="0" fontId="0" fillId="4" borderId="0" xfId="0" applyFill="1" applyBorder="1" applyAlignment="1">
      <alignment horizontal="center"/>
    </xf>
    <xf numFmtId="0" fontId="9" fillId="4" borderId="10" xfId="0" applyFont="1" applyFill="1" applyBorder="1" applyAlignment="1">
      <alignment horizontal="right"/>
    </xf>
    <xf numFmtId="0" fontId="0" fillId="4" borderId="2" xfId="0" applyFill="1" applyBorder="1" applyAlignment="1">
      <alignment horizontal="center"/>
    </xf>
    <xf numFmtId="0" fontId="0" fillId="4" borderId="3" xfId="0" applyFill="1" applyBorder="1" applyAlignment="1">
      <alignment horizontal="center"/>
    </xf>
    <xf numFmtId="0" fontId="16" fillId="4" borderId="8" xfId="0" applyFont="1" applyFill="1" applyBorder="1" applyAlignment="1">
      <alignment horizontal="left"/>
    </xf>
    <xf numFmtId="0" fontId="0" fillId="4" borderId="8" xfId="0" applyFill="1" applyBorder="1" applyAlignment="1">
      <alignment horizontal="center"/>
    </xf>
    <xf numFmtId="0" fontId="0" fillId="4" borderId="6" xfId="0" applyFill="1" applyBorder="1" applyAlignment="1">
      <alignment horizontal="center"/>
    </xf>
    <xf numFmtId="0" fontId="9" fillId="4" borderId="10" xfId="0" applyFont="1" applyFill="1" applyBorder="1" applyAlignment="1" quotePrefix="1">
      <alignment horizontal="left"/>
    </xf>
    <xf numFmtId="166" fontId="15" fillId="4" borderId="0" xfId="0" applyNumberFormat="1" applyFont="1" applyFill="1" applyBorder="1" applyAlignment="1" applyProtection="1">
      <alignment horizontal="center"/>
      <protection hidden="1"/>
    </xf>
    <xf numFmtId="166" fontId="15" fillId="4" borderId="3" xfId="0" applyNumberFormat="1" applyFont="1" applyFill="1" applyBorder="1" applyAlignment="1" applyProtection="1">
      <alignment horizontal="center"/>
      <protection hidden="1"/>
    </xf>
    <xf numFmtId="0" fontId="16" fillId="4" borderId="10" xfId="0" applyFont="1" applyFill="1" applyBorder="1" applyAlignment="1">
      <alignment/>
    </xf>
    <xf numFmtId="0" fontId="9" fillId="4" borderId="11" xfId="0" applyFont="1" applyFill="1" applyBorder="1" applyAlignment="1">
      <alignment/>
    </xf>
    <xf numFmtId="0" fontId="9" fillId="4" borderId="10" xfId="0" applyFont="1" applyFill="1" applyBorder="1" applyAlignment="1">
      <alignment horizontal="center"/>
    </xf>
    <xf numFmtId="0" fontId="9" fillId="4" borderId="12"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7" fillId="4" borderId="10" xfId="0" applyFont="1" applyFill="1" applyBorder="1" applyAlignment="1">
      <alignment horizontal="center"/>
    </xf>
    <xf numFmtId="0" fontId="7" fillId="4" borderId="9" xfId="0" applyNumberFormat="1" applyFont="1" applyFill="1" applyBorder="1" applyAlignment="1" quotePrefix="1">
      <alignment horizontal="center"/>
    </xf>
    <xf numFmtId="0" fontId="23" fillId="0" borderId="0" xfId="0" applyNumberFormat="1" applyFont="1" applyFill="1" applyAlignment="1">
      <alignment horizontal="center"/>
    </xf>
    <xf numFmtId="0" fontId="23" fillId="0" borderId="0" xfId="0" applyNumberFormat="1" applyFont="1" applyFill="1" applyAlignment="1">
      <alignment/>
    </xf>
    <xf numFmtId="0" fontId="6" fillId="0" borderId="0" xfId="0" applyFont="1" applyFill="1" applyBorder="1" applyAlignment="1">
      <alignment/>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6" fillId="0" borderId="0" xfId="0" applyNumberFormat="1" applyFont="1" applyFill="1" applyAlignment="1">
      <alignment horizontal="center"/>
    </xf>
    <xf numFmtId="0" fontId="6" fillId="0" borderId="0" xfId="0" applyNumberFormat="1" applyFont="1" applyFill="1" applyAlignment="1">
      <alignment/>
    </xf>
    <xf numFmtId="0" fontId="13" fillId="0" borderId="0"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centerContinuous"/>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center" vertical="top"/>
    </xf>
    <xf numFmtId="0" fontId="14" fillId="0" borderId="0" xfId="0" applyNumberFormat="1" applyFont="1" applyFill="1" applyBorder="1" applyAlignment="1">
      <alignment horizontal="center" vertical="top"/>
    </xf>
    <xf numFmtId="0" fontId="6" fillId="0" borderId="0" xfId="0" applyNumberFormat="1" applyFont="1" applyFill="1" applyBorder="1" applyAlignment="1">
      <alignment horizontal="centerContinuous" vertical="top"/>
    </xf>
    <xf numFmtId="0" fontId="1" fillId="0" borderId="0" xfId="0" applyNumberFormat="1" applyFont="1" applyFill="1" applyBorder="1" applyAlignment="1">
      <alignment horizontal="right" vertical="center"/>
    </xf>
    <xf numFmtId="0" fontId="21" fillId="0" borderId="9" xfId="0" applyNumberFormat="1" applyFont="1" applyFill="1" applyBorder="1" applyAlignment="1">
      <alignment horizontal="center"/>
    </xf>
    <xf numFmtId="0" fontId="20" fillId="0" borderId="9" xfId="0" applyNumberFormat="1" applyFont="1" applyFill="1" applyBorder="1" applyAlignment="1">
      <alignment horizontal="center"/>
    </xf>
    <xf numFmtId="0" fontId="20" fillId="0" borderId="10" xfId="0" applyNumberFormat="1" applyFont="1" applyFill="1" applyBorder="1" applyAlignment="1">
      <alignment horizontal="centerContinuous"/>
    </xf>
    <xf numFmtId="0" fontId="25" fillId="0" borderId="0" xfId="0" applyNumberFormat="1" applyFont="1" applyFill="1" applyAlignment="1">
      <alignment horizontal="center"/>
    </xf>
    <xf numFmtId="0" fontId="25" fillId="0" borderId="0" xfId="0" applyNumberFormat="1" applyFont="1" applyFill="1" applyAlignment="1">
      <alignment/>
    </xf>
    <xf numFmtId="0" fontId="7" fillId="0" borderId="13"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horizontal="center"/>
    </xf>
    <xf numFmtId="0" fontId="0" fillId="0" borderId="0" xfId="0" applyNumberFormat="1" applyFont="1" applyFill="1" applyAlignment="1">
      <alignment/>
    </xf>
    <xf numFmtId="0" fontId="20" fillId="0" borderId="15" xfId="0" applyNumberFormat="1" applyFont="1" applyFill="1" applyBorder="1" applyAlignment="1">
      <alignment horizontal="center" vertical="top"/>
    </xf>
    <xf numFmtId="0" fontId="0" fillId="0" borderId="0" xfId="0" applyNumberFormat="1" applyFill="1" applyBorder="1" applyAlignment="1">
      <alignment wrapText="1"/>
    </xf>
    <xf numFmtId="0" fontId="0" fillId="0" borderId="0" xfId="0" applyNumberFormat="1" applyFill="1" applyBorder="1" applyAlignment="1">
      <alignment/>
    </xf>
    <xf numFmtId="0" fontId="0" fillId="0" borderId="5" xfId="0" applyNumberFormat="1" applyFill="1" applyBorder="1" applyAlignment="1">
      <alignment/>
    </xf>
    <xf numFmtId="0" fontId="0" fillId="0" borderId="0" xfId="0" applyNumberFormat="1" applyFill="1" applyAlignment="1">
      <alignment horizontal="center"/>
    </xf>
    <xf numFmtId="0" fontId="0" fillId="0" borderId="0" xfId="0" applyNumberFormat="1" applyFill="1" applyAlignment="1">
      <alignment/>
    </xf>
    <xf numFmtId="0" fontId="19" fillId="0" borderId="6" xfId="0" applyNumberFormat="1" applyFont="1" applyFill="1" applyBorder="1" applyAlignment="1">
      <alignment vertical="center"/>
    </xf>
    <xf numFmtId="0" fontId="0" fillId="0" borderId="0" xfId="0" applyNumberFormat="1" applyFill="1" applyBorder="1" applyAlignment="1">
      <alignment horizontal="centerContinuous"/>
    </xf>
    <xf numFmtId="0" fontId="0" fillId="0" borderId="0" xfId="0" applyNumberFormat="1" applyFill="1" applyBorder="1" applyAlignment="1">
      <alignment horizontal="centerContinuous" vertical="center" wrapText="1"/>
    </xf>
    <xf numFmtId="0" fontId="7" fillId="0" borderId="0" xfId="0" applyNumberFormat="1" applyFont="1" applyFill="1" applyBorder="1" applyAlignment="1">
      <alignment horizontal="centerContinuous"/>
    </xf>
    <xf numFmtId="0" fontId="8" fillId="0" borderId="12" xfId="0" applyNumberFormat="1" applyFont="1" applyFill="1" applyBorder="1" applyAlignment="1">
      <alignment/>
    </xf>
    <xf numFmtId="0" fontId="7" fillId="0" borderId="11" xfId="0" applyNumberFormat="1" applyFont="1" applyFill="1" applyBorder="1" applyAlignment="1">
      <alignment horizontal="centerContinuous"/>
    </xf>
    <xf numFmtId="0" fontId="0" fillId="0" borderId="0" xfId="0" applyNumberFormat="1" applyFill="1" applyBorder="1" applyAlignment="1">
      <alignment/>
    </xf>
    <xf numFmtId="0" fontId="19" fillId="0" borderId="11" xfId="0" applyNumberFormat="1" applyFont="1" applyFill="1" applyBorder="1" applyAlignment="1">
      <alignment/>
    </xf>
    <xf numFmtId="0" fontId="7" fillId="0" borderId="3" xfId="0" applyNumberFormat="1" applyFont="1" applyFill="1" applyBorder="1" applyAlignment="1">
      <alignment/>
    </xf>
    <xf numFmtId="0" fontId="1" fillId="0" borderId="3" xfId="0" applyNumberFormat="1" applyFont="1" applyFill="1" applyBorder="1" applyAlignment="1">
      <alignment/>
    </xf>
    <xf numFmtId="0" fontId="20" fillId="0" borderId="14" xfId="0" applyNumberFormat="1" applyFont="1" applyFill="1" applyBorder="1" applyAlignment="1">
      <alignment horizontal="center" vertical="top"/>
    </xf>
    <xf numFmtId="0" fontId="7" fillId="0" borderId="0" xfId="0" applyFont="1" applyFill="1" applyBorder="1" applyAlignment="1">
      <alignment horizontal="centerContinuous" vertical="center"/>
    </xf>
    <xf numFmtId="0" fontId="0" fillId="0" borderId="0" xfId="0" applyNumberFormat="1" applyFont="1" applyFill="1" applyBorder="1" applyAlignment="1">
      <alignment horizontal="centerContinuous"/>
    </xf>
    <xf numFmtId="0" fontId="15" fillId="0" borderId="0" xfId="0" applyNumberFormat="1" applyFont="1" applyFill="1" applyBorder="1" applyAlignment="1">
      <alignment/>
    </xf>
    <xf numFmtId="0" fontId="16" fillId="0" borderId="0" xfId="0" applyNumberFormat="1" applyFont="1" applyFill="1" applyBorder="1" applyAlignment="1" applyProtection="1">
      <alignment horizontal="center"/>
      <protection locked="0"/>
    </xf>
    <xf numFmtId="0" fontId="8" fillId="0" borderId="6" xfId="0" applyNumberFormat="1" applyFont="1" applyFill="1" applyBorder="1" applyAlignment="1">
      <alignment vertical="center"/>
    </xf>
    <xf numFmtId="0" fontId="7" fillId="0" borderId="14" xfId="0" applyNumberFormat="1" applyFont="1" applyFill="1" applyBorder="1" applyAlignment="1">
      <alignment/>
    </xf>
    <xf numFmtId="0" fontId="7" fillId="0" borderId="0" xfId="0" applyNumberFormat="1" applyFont="1" applyFill="1" applyBorder="1" applyAlignment="1">
      <alignment/>
    </xf>
    <xf numFmtId="0" fontId="9" fillId="0" borderId="0" xfId="0" applyFont="1" applyFill="1" applyBorder="1" applyAlignment="1">
      <alignment horizontal="left"/>
    </xf>
    <xf numFmtId="0" fontId="1" fillId="0" borderId="9" xfId="0" applyNumberFormat="1" applyFont="1" applyFill="1" applyBorder="1" applyAlignment="1">
      <alignment horizontal="center"/>
    </xf>
    <xf numFmtId="14" fontId="20" fillId="0" borderId="9" xfId="0" applyNumberFormat="1" applyFont="1" applyFill="1" applyBorder="1" applyAlignment="1" applyProtection="1">
      <alignment horizontal="center"/>
      <protection/>
    </xf>
    <xf numFmtId="0" fontId="19" fillId="0" borderId="0" xfId="0" applyNumberFormat="1" applyFont="1" applyFill="1" applyBorder="1" applyAlignment="1">
      <alignment vertical="center"/>
    </xf>
    <xf numFmtId="0" fontId="0" fillId="0" borderId="3" xfId="0" applyNumberFormat="1" applyFill="1" applyBorder="1" applyAlignment="1">
      <alignment/>
    </xf>
    <xf numFmtId="0" fontId="0" fillId="0" borderId="4" xfId="0" applyNumberFormat="1" applyFill="1" applyBorder="1" applyAlignment="1">
      <alignment/>
    </xf>
    <xf numFmtId="0" fontId="0" fillId="0" borderId="3" xfId="0" applyNumberFormat="1" applyFill="1" applyBorder="1" applyAlignment="1">
      <alignment horizontal="center"/>
    </xf>
    <xf numFmtId="0" fontId="13" fillId="0" borderId="0" xfId="0" applyNumberFormat="1" applyFont="1" applyFill="1" applyAlignment="1">
      <alignment horizontal="center" vertical="center"/>
    </xf>
    <xf numFmtId="0" fontId="16" fillId="0" borderId="6" xfId="0" applyNumberFormat="1" applyFont="1" applyFill="1" applyBorder="1" applyAlignment="1">
      <alignment horizontal="left" vertical="center"/>
    </xf>
    <xf numFmtId="0" fontId="16" fillId="0" borderId="6" xfId="0" applyNumberFormat="1" applyFont="1" applyFill="1" applyBorder="1" applyAlignment="1">
      <alignment vertical="center"/>
    </xf>
    <xf numFmtId="0" fontId="16" fillId="0" borderId="6" xfId="0" applyNumberFormat="1" applyFont="1" applyFill="1" applyBorder="1" applyAlignment="1">
      <alignment/>
    </xf>
    <xf numFmtId="0" fontId="0" fillId="0" borderId="13" xfId="0" applyNumberFormat="1" applyFont="1" applyFill="1" applyBorder="1" applyAlignment="1">
      <alignment/>
    </xf>
    <xf numFmtId="0" fontId="0" fillId="4" borderId="13" xfId="0" applyNumberFormat="1" applyFont="1" applyFill="1" applyBorder="1" applyAlignment="1">
      <alignment/>
    </xf>
    <xf numFmtId="0" fontId="0" fillId="4" borderId="14" xfId="0" applyNumberFormat="1" applyFill="1" applyBorder="1" applyAlignment="1">
      <alignment wrapText="1"/>
    </xf>
    <xf numFmtId="0" fontId="0" fillId="0" borderId="14" xfId="0" applyNumberFormat="1" applyFill="1" applyBorder="1" applyAlignment="1">
      <alignment wrapText="1"/>
    </xf>
    <xf numFmtId="0" fontId="0" fillId="0" borderId="8" xfId="0" applyNumberFormat="1" applyFill="1" applyBorder="1" applyAlignment="1">
      <alignment horizontal="centerContinuous" vertical="center" wrapText="1"/>
    </xf>
    <xf numFmtId="0" fontId="0" fillId="0" borderId="6" xfId="0" applyNumberFormat="1" applyFill="1" applyBorder="1" applyAlignment="1">
      <alignment horizontal="centerContinuous" vertical="center" wrapText="1"/>
    </xf>
    <xf numFmtId="0" fontId="0" fillId="0" borderId="14" xfId="0" applyFont="1" applyFill="1" applyBorder="1" applyAlignment="1">
      <alignment/>
    </xf>
    <xf numFmtId="0" fontId="0" fillId="0" borderId="1" xfId="0" applyNumberFormat="1" applyFill="1" applyBorder="1" applyAlignment="1">
      <alignment horizontal="centerContinuous" vertical="center" wrapText="1"/>
    </xf>
    <xf numFmtId="0" fontId="0" fillId="0" borderId="14" xfId="0" applyNumberFormat="1" applyFill="1" applyBorder="1" applyAlignment="1">
      <alignment horizontal="centerContinuous" wrapText="1"/>
    </xf>
    <xf numFmtId="0" fontId="0" fillId="0" borderId="14" xfId="0" applyNumberFormat="1" applyFont="1" applyFill="1" applyBorder="1" applyAlignment="1">
      <alignment horizontal="centerContinuous" wrapText="1"/>
    </xf>
    <xf numFmtId="0" fontId="0" fillId="0" borderId="14" xfId="0" applyNumberFormat="1" applyFill="1" applyBorder="1" applyAlignment="1">
      <alignment horizontal="centerContinuous"/>
    </xf>
    <xf numFmtId="0" fontId="7" fillId="0" borderId="5" xfId="0" applyNumberFormat="1" applyFont="1" applyFill="1" applyBorder="1" applyAlignment="1">
      <alignment horizontal="centerContinuous"/>
    </xf>
    <xf numFmtId="0" fontId="0" fillId="0" borderId="1" xfId="0" applyNumberFormat="1" applyFill="1" applyBorder="1" applyAlignment="1">
      <alignment/>
    </xf>
    <xf numFmtId="0" fontId="0" fillId="0" borderId="8" xfId="0" applyNumberFormat="1" applyFill="1" applyBorder="1" applyAlignment="1">
      <alignment horizontal="centerContinuous"/>
    </xf>
    <xf numFmtId="0" fontId="0" fillId="0" borderId="6" xfId="0" applyNumberFormat="1" applyFill="1" applyBorder="1" applyAlignment="1">
      <alignment horizontal="centerContinuous"/>
    </xf>
    <xf numFmtId="0" fontId="0" fillId="0" borderId="14" xfId="0" applyFill="1" applyBorder="1" applyAlignment="1">
      <alignment horizontal="centerContinuous" wrapText="1"/>
    </xf>
    <xf numFmtId="0" fontId="0" fillId="0" borderId="14" xfId="0" applyFont="1" applyFill="1" applyBorder="1" applyAlignment="1">
      <alignment horizontal="centerContinuous" wrapText="1"/>
    </xf>
    <xf numFmtId="0" fontId="0" fillId="0" borderId="5" xfId="0" applyNumberFormat="1" applyFill="1" applyBorder="1" applyAlignment="1">
      <alignment horizontal="centerContinuous"/>
    </xf>
    <xf numFmtId="0" fontId="0" fillId="0" borderId="14" xfId="0" applyNumberFormat="1" applyFill="1" applyBorder="1" applyAlignment="1">
      <alignment/>
    </xf>
    <xf numFmtId="0" fontId="0" fillId="0" borderId="14" xfId="0" applyNumberFormat="1" applyFill="1" applyBorder="1" applyAlignment="1">
      <alignment/>
    </xf>
    <xf numFmtId="0" fontId="0" fillId="0" borderId="8" xfId="0" applyNumberFormat="1" applyFill="1" applyBorder="1" applyAlignment="1">
      <alignment/>
    </xf>
    <xf numFmtId="0" fontId="0" fillId="0" borderId="6" xfId="0" applyNumberFormat="1" applyFill="1" applyBorder="1" applyAlignment="1">
      <alignment/>
    </xf>
    <xf numFmtId="0" fontId="7" fillId="0" borderId="6" xfId="0" applyFont="1" applyFill="1" applyBorder="1" applyAlignment="1">
      <alignment/>
    </xf>
    <xf numFmtId="0" fontId="0" fillId="0" borderId="14" xfId="0" applyNumberFormat="1" applyFont="1" applyFill="1" applyBorder="1" applyAlignment="1">
      <alignment/>
    </xf>
    <xf numFmtId="0" fontId="0" fillId="0" borderId="1" xfId="0" applyNumberFormat="1" applyFont="1" applyFill="1" applyBorder="1" applyAlignment="1">
      <alignment/>
    </xf>
    <xf numFmtId="0" fontId="0" fillId="0" borderId="5" xfId="0" applyNumberFormat="1" applyFont="1" applyFill="1" applyBorder="1" applyAlignment="1">
      <alignment horizontal="centerContinuous"/>
    </xf>
    <xf numFmtId="0" fontId="0" fillId="0" borderId="14" xfId="0" applyNumberFormat="1" applyFont="1" applyFill="1" applyBorder="1" applyAlignment="1">
      <alignment horizontal="center"/>
    </xf>
    <xf numFmtId="0" fontId="0" fillId="0" borderId="8" xfId="0" applyNumberFormat="1" applyFont="1" applyFill="1" applyBorder="1" applyAlignment="1">
      <alignment/>
    </xf>
    <xf numFmtId="0" fontId="0" fillId="0" borderId="1" xfId="0" applyNumberFormat="1" applyFill="1" applyBorder="1" applyAlignment="1">
      <alignment horizontal="centerContinuous"/>
    </xf>
    <xf numFmtId="0" fontId="0" fillId="0" borderId="1" xfId="0" applyNumberFormat="1" applyFont="1" applyFill="1" applyBorder="1" applyAlignment="1">
      <alignment horizontal="center"/>
    </xf>
    <xf numFmtId="0" fontId="0" fillId="0" borderId="10" xfId="0" applyNumberFormat="1" applyFill="1" applyBorder="1" applyAlignment="1">
      <alignment wrapText="1"/>
    </xf>
    <xf numFmtId="0" fontId="0" fillId="0" borderId="11" xfId="0" applyNumberFormat="1" applyFill="1" applyBorder="1" applyAlignment="1">
      <alignment wrapText="1"/>
    </xf>
    <xf numFmtId="0" fontId="6" fillId="0" borderId="11" xfId="0" applyNumberFormat="1" applyFont="1" applyFill="1" applyBorder="1" applyAlignment="1">
      <alignment vertical="top" wrapText="1"/>
    </xf>
    <xf numFmtId="0" fontId="0" fillId="0" borderId="11" xfId="0" applyNumberFormat="1" applyFill="1" applyBorder="1" applyAlignment="1">
      <alignment horizontal="centerContinuous"/>
    </xf>
    <xf numFmtId="0" fontId="0" fillId="0" borderId="11" xfId="0" applyNumberFormat="1" applyFill="1" applyBorder="1" applyAlignment="1">
      <alignment/>
    </xf>
    <xf numFmtId="0" fontId="0" fillId="0" borderId="14" xfId="0" applyNumberFormat="1" applyFill="1" applyBorder="1" applyAlignment="1">
      <alignment horizontal="center"/>
    </xf>
    <xf numFmtId="0" fontId="13" fillId="0" borderId="5" xfId="0" applyNumberFormat="1" applyFont="1" applyFill="1" applyBorder="1" applyAlignment="1">
      <alignment horizontal="center" vertical="top"/>
    </xf>
    <xf numFmtId="14" fontId="8" fillId="0" borderId="10" xfId="0" applyNumberFormat="1" applyFont="1" applyFill="1" applyBorder="1" applyAlignment="1" applyProtection="1">
      <alignment horizontal="centerContinuous"/>
      <protection locked="0"/>
    </xf>
    <xf numFmtId="0" fontId="23" fillId="0" borderId="8" xfId="0" applyNumberFormat="1" applyFont="1" applyFill="1" applyBorder="1" applyAlignment="1">
      <alignment horizontal="center"/>
    </xf>
    <xf numFmtId="0" fontId="19" fillId="0" borderId="11" xfId="0" applyNumberFormat="1" applyFont="1" applyFill="1" applyBorder="1" applyAlignment="1">
      <alignment vertical="center"/>
    </xf>
    <xf numFmtId="0" fontId="0" fillId="4" borderId="14" xfId="0" applyFont="1" applyFill="1" applyBorder="1" applyAlignment="1">
      <alignment/>
    </xf>
    <xf numFmtId="0" fontId="0" fillId="4" borderId="14" xfId="0" applyNumberFormat="1" applyFill="1" applyBorder="1" applyAlignment="1">
      <alignment horizontal="centerContinuous" wrapText="1"/>
    </xf>
    <xf numFmtId="0" fontId="0" fillId="4" borderId="14" xfId="0" applyNumberFormat="1" applyFont="1" applyFill="1" applyBorder="1" applyAlignment="1">
      <alignment horizontal="centerContinuous" wrapText="1"/>
    </xf>
    <xf numFmtId="0" fontId="0" fillId="4" borderId="14" xfId="0" applyNumberFormat="1" applyFill="1" applyBorder="1" applyAlignment="1">
      <alignment horizontal="centerContinuous"/>
    </xf>
    <xf numFmtId="0" fontId="0" fillId="4" borderId="5" xfId="0" applyNumberFormat="1" applyFill="1" applyBorder="1" applyAlignment="1">
      <alignment/>
    </xf>
    <xf numFmtId="0" fontId="0" fillId="4" borderId="1" xfId="0" applyNumberFormat="1" applyFill="1" applyBorder="1" applyAlignment="1">
      <alignment/>
    </xf>
    <xf numFmtId="0" fontId="0" fillId="4" borderId="0" xfId="0" applyNumberFormat="1" applyFill="1" applyBorder="1" applyAlignment="1">
      <alignment/>
    </xf>
    <xf numFmtId="0" fontId="0" fillId="4" borderId="8" xfId="0" applyNumberFormat="1" applyFill="1" applyBorder="1" applyAlignment="1">
      <alignment horizontal="centerContinuous"/>
    </xf>
    <xf numFmtId="0" fontId="0" fillId="4" borderId="6" xfId="0" applyNumberFormat="1" applyFill="1" applyBorder="1" applyAlignment="1">
      <alignment horizontal="centerContinuous"/>
    </xf>
    <xf numFmtId="0" fontId="0" fillId="4" borderId="5" xfId="0" applyNumberFormat="1" applyFill="1" applyBorder="1" applyAlignment="1">
      <alignment horizontal="centerContinuous"/>
    </xf>
    <xf numFmtId="0" fontId="0" fillId="4" borderId="14" xfId="0" applyFill="1" applyBorder="1" applyAlignment="1">
      <alignment horizontal="centerContinuous" wrapText="1"/>
    </xf>
    <xf numFmtId="0" fontId="0" fillId="4" borderId="14" xfId="0" applyFont="1" applyFill="1" applyBorder="1" applyAlignment="1">
      <alignment horizontal="centerContinuous" wrapText="1"/>
    </xf>
    <xf numFmtId="0" fontId="0" fillId="4" borderId="14" xfId="0" applyNumberFormat="1" applyFill="1" applyBorder="1" applyAlignment="1">
      <alignment/>
    </xf>
    <xf numFmtId="0" fontId="0" fillId="4" borderId="8" xfId="0" applyNumberFormat="1" applyFill="1" applyBorder="1" applyAlignment="1">
      <alignment/>
    </xf>
    <xf numFmtId="0" fontId="0" fillId="4" borderId="6" xfId="0" applyNumberFormat="1" applyFill="1" applyBorder="1" applyAlignment="1">
      <alignment/>
    </xf>
    <xf numFmtId="0" fontId="0" fillId="4" borderId="0" xfId="0" applyNumberFormat="1" applyFont="1" applyFill="1" applyBorder="1" applyAlignment="1">
      <alignment/>
    </xf>
    <xf numFmtId="0" fontId="0" fillId="4" borderId="14" xfId="0" applyNumberFormat="1" applyFont="1" applyFill="1" applyBorder="1" applyAlignment="1">
      <alignment/>
    </xf>
    <xf numFmtId="0" fontId="0" fillId="4" borderId="4" xfId="0" applyNumberFormat="1" applyFill="1" applyBorder="1" applyAlignment="1">
      <alignment/>
    </xf>
    <xf numFmtId="0" fontId="0" fillId="4" borderId="14" xfId="0" applyNumberFormat="1" applyFont="1" applyFill="1" applyBorder="1" applyAlignment="1">
      <alignment horizontal="center"/>
    </xf>
    <xf numFmtId="0" fontId="0" fillId="4" borderId="5" xfId="0" applyNumberFormat="1" applyFont="1" applyFill="1" applyBorder="1" applyAlignment="1">
      <alignment horizontal="centerContinuous" vertical="center" wrapText="1"/>
    </xf>
    <xf numFmtId="0" fontId="0" fillId="4" borderId="5" xfId="0" applyNumberFormat="1" applyFill="1" applyBorder="1" applyAlignment="1">
      <alignment wrapText="1"/>
    </xf>
    <xf numFmtId="0" fontId="0" fillId="4" borderId="8" xfId="0" applyNumberFormat="1" applyFont="1" applyFill="1" applyBorder="1" applyAlignment="1">
      <alignment horizontal="centerContinuous" vertical="center" wrapText="1"/>
    </xf>
    <xf numFmtId="0" fontId="0" fillId="4" borderId="1" xfId="0" applyNumberFormat="1" applyFill="1" applyBorder="1" applyAlignment="1">
      <alignment wrapText="1"/>
    </xf>
    <xf numFmtId="0" fontId="0" fillId="4" borderId="14" xfId="0" applyNumberFormat="1" applyFill="1" applyBorder="1" applyAlignment="1">
      <alignment horizontal="centerContinuous" vertical="center" wrapText="1"/>
    </xf>
    <xf numFmtId="0" fontId="0" fillId="4" borderId="5" xfId="0" applyNumberFormat="1" applyFill="1" applyBorder="1" applyAlignment="1">
      <alignment horizontal="centerContinuous" wrapText="1"/>
    </xf>
    <xf numFmtId="0" fontId="0" fillId="4" borderId="8" xfId="0" applyNumberFormat="1" applyFill="1" applyBorder="1" applyAlignment="1">
      <alignment wrapText="1"/>
    </xf>
    <xf numFmtId="0" fontId="0" fillId="4" borderId="6" xfId="0" applyNumberFormat="1" applyFill="1" applyBorder="1" applyAlignment="1">
      <alignment wrapText="1"/>
    </xf>
    <xf numFmtId="0" fontId="0" fillId="4" borderId="0" xfId="0" applyNumberFormat="1" applyFill="1" applyBorder="1" applyAlignment="1">
      <alignment wrapText="1"/>
    </xf>
    <xf numFmtId="0" fontId="0" fillId="4" borderId="1" xfId="0" applyNumberFormat="1" applyFill="1" applyBorder="1" applyAlignment="1">
      <alignment/>
    </xf>
    <xf numFmtId="0" fontId="0" fillId="4" borderId="0" xfId="0" applyNumberFormat="1" applyFill="1" applyBorder="1" applyAlignment="1">
      <alignment/>
    </xf>
    <xf numFmtId="0" fontId="0" fillId="4" borderId="5" xfId="0" applyNumberFormat="1" applyFill="1" applyBorder="1" applyAlignment="1">
      <alignment/>
    </xf>
    <xf numFmtId="0" fontId="6" fillId="4" borderId="0" xfId="0" applyNumberFormat="1" applyFont="1" applyFill="1" applyBorder="1" applyAlignment="1">
      <alignment horizontal="left"/>
    </xf>
    <xf numFmtId="0" fontId="6" fillId="4" borderId="0" xfId="0" applyNumberFormat="1" applyFont="1" applyFill="1" applyBorder="1" applyAlignment="1">
      <alignment horizontal="left" vertical="top"/>
    </xf>
    <xf numFmtId="0" fontId="6" fillId="4" borderId="0" xfId="0" applyNumberFormat="1" applyFont="1" applyFill="1" applyBorder="1" applyAlignment="1">
      <alignment horizontal="left" vertical="center"/>
    </xf>
    <xf numFmtId="0" fontId="0" fillId="4" borderId="2" xfId="0" applyNumberFormat="1" applyFont="1" applyFill="1" applyBorder="1" applyAlignment="1">
      <alignment/>
    </xf>
    <xf numFmtId="0" fontId="0" fillId="4" borderId="3" xfId="0" applyNumberFormat="1" applyFill="1" applyBorder="1" applyAlignment="1">
      <alignment horizontal="centerContinuous"/>
    </xf>
    <xf numFmtId="0" fontId="0" fillId="4" borderId="3" xfId="0" applyNumberFormat="1" applyFill="1" applyBorder="1" applyAlignment="1">
      <alignment/>
    </xf>
    <xf numFmtId="0" fontId="0" fillId="4" borderId="13" xfId="0" applyFont="1" applyFill="1" applyBorder="1" applyAlignment="1">
      <alignment/>
    </xf>
    <xf numFmtId="0" fontId="0" fillId="4" borderId="14" xfId="0" applyNumberFormat="1" applyFont="1" applyFill="1" applyBorder="1" applyAlignment="1">
      <alignment horizontal="centerContinuous"/>
    </xf>
    <xf numFmtId="0" fontId="0" fillId="4" borderId="2" xfId="0" applyNumberFormat="1" applyFont="1" applyFill="1" applyBorder="1" applyAlignment="1">
      <alignment/>
    </xf>
    <xf numFmtId="0" fontId="6" fillId="4" borderId="3" xfId="0" applyNumberFormat="1" applyFont="1" applyFill="1" applyBorder="1" applyAlignment="1">
      <alignment horizontal="center" vertical="top"/>
    </xf>
    <xf numFmtId="0" fontId="1" fillId="4" borderId="5" xfId="0" applyNumberFormat="1" applyFont="1" applyFill="1" applyBorder="1" applyAlignment="1">
      <alignment/>
    </xf>
    <xf numFmtId="0" fontId="1" fillId="4" borderId="1" xfId="0" applyNumberFormat="1" applyFont="1" applyFill="1" applyBorder="1" applyAlignment="1">
      <alignment/>
    </xf>
    <xf numFmtId="0" fontId="1" fillId="4" borderId="0" xfId="0" applyNumberFormat="1" applyFont="1" applyFill="1" applyBorder="1" applyAlignment="1">
      <alignment/>
    </xf>
    <xf numFmtId="0" fontId="6" fillId="4" borderId="6" xfId="0" applyNumberFormat="1" applyFont="1" applyFill="1" applyBorder="1" applyAlignment="1">
      <alignment horizontal="center" vertical="top"/>
    </xf>
    <xf numFmtId="0" fontId="6" fillId="4" borderId="1" xfId="0" applyNumberFormat="1" applyFont="1" applyFill="1" applyBorder="1" applyAlignment="1">
      <alignment/>
    </xf>
    <xf numFmtId="0" fontId="6" fillId="4" borderId="0" xfId="0" applyNumberFormat="1" applyFont="1" applyFill="1" applyBorder="1" applyAlignment="1">
      <alignment/>
    </xf>
    <xf numFmtId="0" fontId="6" fillId="4" borderId="5" xfId="0" applyNumberFormat="1" applyFont="1" applyFill="1" applyBorder="1" applyAlignment="1">
      <alignment/>
    </xf>
    <xf numFmtId="0" fontId="13" fillId="4" borderId="0" xfId="0" applyNumberFormat="1" applyFont="1" applyFill="1" applyBorder="1" applyAlignment="1">
      <alignment horizontal="center" vertical="top"/>
    </xf>
    <xf numFmtId="0" fontId="0" fillId="4" borderId="2" xfId="0" applyNumberFormat="1" applyFill="1" applyBorder="1" applyAlignment="1">
      <alignment/>
    </xf>
    <xf numFmtId="0" fontId="13" fillId="4" borderId="3" xfId="0" applyNumberFormat="1" applyFont="1" applyFill="1" applyBorder="1" applyAlignment="1">
      <alignment horizontal="center" vertical="top"/>
    </xf>
    <xf numFmtId="0" fontId="22" fillId="0" borderId="32" xfId="0" applyFont="1" applyFill="1" applyBorder="1" applyAlignment="1">
      <alignment horizontal="center" vertical="center"/>
    </xf>
    <xf numFmtId="0" fontId="23" fillId="0" borderId="17" xfId="0" applyNumberFormat="1" applyFont="1" applyFill="1" applyBorder="1" applyAlignment="1">
      <alignment horizontal="center"/>
    </xf>
    <xf numFmtId="0" fontId="23" fillId="0" borderId="33" xfId="0" applyNumberFormat="1" applyFont="1" applyFill="1" applyBorder="1" applyAlignment="1">
      <alignment/>
    </xf>
    <xf numFmtId="0" fontId="23" fillId="0" borderId="33" xfId="0" applyNumberFormat="1" applyFont="1" applyFill="1" applyBorder="1" applyAlignment="1">
      <alignment horizontal="center"/>
    </xf>
    <xf numFmtId="0" fontId="23" fillId="0" borderId="34" xfId="0" applyNumberFormat="1" applyFont="1" applyFill="1" applyBorder="1" applyAlignment="1">
      <alignment horizontal="center"/>
    </xf>
    <xf numFmtId="0" fontId="13"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3" fillId="0" borderId="35" xfId="0" applyFont="1" applyFill="1" applyBorder="1" applyAlignment="1">
      <alignment horizontal="center" vertical="center"/>
    </xf>
    <xf numFmtId="0" fontId="6" fillId="0" borderId="36" xfId="0" applyNumberFormat="1" applyFont="1" applyFill="1" applyBorder="1" applyAlignment="1">
      <alignment/>
    </xf>
    <xf numFmtId="0" fontId="24" fillId="0" borderId="35" xfId="0" applyFont="1" applyFill="1" applyBorder="1" applyAlignment="1">
      <alignment horizontal="center" vertical="center"/>
    </xf>
    <xf numFmtId="0" fontId="12" fillId="0" borderId="36" xfId="0" applyNumberFormat="1" applyFont="1" applyFill="1" applyBorder="1" applyAlignment="1">
      <alignment horizontal="center"/>
    </xf>
    <xf numFmtId="0" fontId="15" fillId="0" borderId="37" xfId="0" applyNumberFormat="1" applyFont="1" applyFill="1" applyBorder="1" applyAlignment="1">
      <alignment horizontal="center" vertical="center"/>
    </xf>
    <xf numFmtId="0" fontId="0" fillId="0" borderId="36" xfId="0" applyNumberFormat="1" applyFont="1" applyFill="1" applyBorder="1" applyAlignment="1">
      <alignment/>
    </xf>
    <xf numFmtId="0" fontId="0" fillId="0" borderId="38" xfId="0" applyFill="1" applyBorder="1" applyAlignment="1">
      <alignment/>
    </xf>
    <xf numFmtId="0" fontId="0" fillId="0" borderId="36" xfId="0" applyNumberFormat="1" applyFill="1" applyBorder="1" applyAlignment="1">
      <alignment/>
    </xf>
    <xf numFmtId="0" fontId="13" fillId="0" borderId="37" xfId="0" applyNumberFormat="1" applyFont="1" applyFill="1" applyBorder="1" applyAlignment="1">
      <alignment horizontal="center" vertical="center"/>
    </xf>
    <xf numFmtId="0" fontId="8" fillId="0" borderId="39" xfId="0" applyNumberFormat="1" applyFont="1" applyFill="1" applyBorder="1" applyAlignment="1">
      <alignment horizontal="centerContinuous"/>
    </xf>
    <xf numFmtId="0" fontId="13" fillId="0" borderId="39" xfId="0" applyNumberFormat="1" applyFont="1" applyFill="1" applyBorder="1" applyAlignment="1">
      <alignment horizontal="center" vertical="center"/>
    </xf>
    <xf numFmtId="0" fontId="0" fillId="0" borderId="38" xfId="0" applyNumberFormat="1" applyFont="1" applyFill="1" applyBorder="1" applyAlignment="1">
      <alignment horizontal="centerContinuous"/>
    </xf>
    <xf numFmtId="0" fontId="0" fillId="0" borderId="36" xfId="0" applyNumberFormat="1" applyFill="1" applyBorder="1" applyAlignment="1">
      <alignment horizontal="center"/>
    </xf>
    <xf numFmtId="0" fontId="15" fillId="0" borderId="38" xfId="0" applyNumberFormat="1" applyFont="1" applyFill="1" applyBorder="1" applyAlignment="1">
      <alignment horizontal="center" vertical="center"/>
    </xf>
    <xf numFmtId="0" fontId="0" fillId="0" borderId="36" xfId="0" applyNumberFormat="1" applyFont="1" applyFill="1" applyBorder="1" applyAlignment="1">
      <alignment horizontal="center"/>
    </xf>
    <xf numFmtId="0" fontId="0" fillId="0" borderId="39" xfId="0" applyNumberFormat="1" applyFill="1" applyBorder="1" applyAlignment="1">
      <alignment/>
    </xf>
    <xf numFmtId="0" fontId="13" fillId="0" borderId="38" xfId="0" applyNumberFormat="1" applyFont="1" applyFill="1" applyBorder="1" applyAlignment="1">
      <alignment horizontal="center" vertical="center"/>
    </xf>
    <xf numFmtId="0" fontId="0" fillId="0" borderId="40" xfId="0" applyNumberFormat="1" applyFill="1" applyBorder="1" applyAlignment="1">
      <alignment/>
    </xf>
    <xf numFmtId="0" fontId="13" fillId="0" borderId="41" xfId="0" applyNumberFormat="1" applyFont="1" applyFill="1" applyBorder="1" applyAlignment="1">
      <alignment horizontal="center" vertical="center"/>
    </xf>
    <xf numFmtId="0" fontId="0" fillId="0" borderId="42" xfId="0" applyNumberFormat="1" applyFill="1" applyBorder="1" applyAlignment="1">
      <alignment/>
    </xf>
    <xf numFmtId="0" fontId="0" fillId="0" borderId="43"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90</xdr:row>
      <xdr:rowOff>9525</xdr:rowOff>
    </xdr:from>
    <xdr:to>
      <xdr:col>11</xdr:col>
      <xdr:colOff>0</xdr:colOff>
      <xdr:row>90</xdr:row>
      <xdr:rowOff>9525</xdr:rowOff>
    </xdr:to>
    <xdr:sp>
      <xdr:nvSpPr>
        <xdr:cNvPr id="1" name="Line 33"/>
        <xdr:cNvSpPr>
          <a:spLocks/>
        </xdr:cNvSpPr>
      </xdr:nvSpPr>
      <xdr:spPr>
        <a:xfrm>
          <a:off x="11115675" y="17278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1">
    <pageSetUpPr fitToPage="1"/>
  </sheetPr>
  <dimension ref="B3:J8"/>
  <sheetViews>
    <sheetView showGridLines="0" showRowColHeaders="0" tabSelected="1" workbookViewId="0" topLeftCell="A1">
      <selection activeCell="A1" sqref="A1"/>
    </sheetView>
  </sheetViews>
  <sheetFormatPr defaultColWidth="9.00390625" defaultRowHeight="14.25"/>
  <cols>
    <col min="1" max="1" width="3.625" style="0" customWidth="1"/>
    <col min="2" max="10" width="10.00390625" style="0" customWidth="1"/>
  </cols>
  <sheetData>
    <row r="2" ht="15" thickBot="1"/>
    <row r="3" spans="2:10" ht="15" thickTop="1">
      <c r="B3" s="395" t="s">
        <v>802</v>
      </c>
      <c r="C3" s="396"/>
      <c r="D3" s="396"/>
      <c r="E3" s="396"/>
      <c r="F3" s="396"/>
      <c r="G3" s="396"/>
      <c r="H3" s="396"/>
      <c r="I3" s="396"/>
      <c r="J3" s="397"/>
    </row>
    <row r="4" spans="2:10" ht="14.25">
      <c r="B4" s="398" t="s">
        <v>803</v>
      </c>
      <c r="C4" s="399"/>
      <c r="D4" s="399"/>
      <c r="E4" s="399"/>
      <c r="F4" s="399"/>
      <c r="G4" s="399"/>
      <c r="H4" s="399"/>
      <c r="I4" s="399"/>
      <c r="J4" s="400"/>
    </row>
    <row r="5" spans="2:10" ht="14.25">
      <c r="B5" s="398"/>
      <c r="C5" s="399"/>
      <c r="D5" s="399"/>
      <c r="E5" s="399"/>
      <c r="F5" s="399"/>
      <c r="G5" s="399"/>
      <c r="H5" s="399"/>
      <c r="I5" s="399"/>
      <c r="J5" s="400"/>
    </row>
    <row r="6" spans="2:10" ht="14.25">
      <c r="B6" s="398" t="s">
        <v>804</v>
      </c>
      <c r="C6" s="399"/>
      <c r="D6" s="399"/>
      <c r="E6" s="399"/>
      <c r="F6" s="399"/>
      <c r="G6" s="399"/>
      <c r="H6" s="399"/>
      <c r="I6" s="399"/>
      <c r="J6" s="400"/>
    </row>
    <row r="7" spans="2:10" ht="14.25">
      <c r="B7" s="398"/>
      <c r="C7" s="399"/>
      <c r="D7" s="399"/>
      <c r="E7" s="399"/>
      <c r="F7" s="399"/>
      <c r="G7" s="399"/>
      <c r="H7" s="399"/>
      <c r="I7" s="399"/>
      <c r="J7" s="400"/>
    </row>
    <row r="8" spans="2:10" ht="3.75" customHeight="1" thickBot="1">
      <c r="B8" s="401"/>
      <c r="C8" s="402"/>
      <c r="D8" s="402"/>
      <c r="E8" s="402"/>
      <c r="F8" s="402"/>
      <c r="G8" s="402"/>
      <c r="H8" s="402"/>
      <c r="I8" s="402"/>
      <c r="J8" s="403"/>
    </row>
    <row r="9" ht="15" thickTop="1"/>
  </sheetData>
  <sheetProtection password="C927" sheet="1" objects="1" scenarios="1"/>
  <mergeCells count="3">
    <mergeCell ref="B3:J3"/>
    <mergeCell ref="B6:J8"/>
    <mergeCell ref="B4:J5"/>
  </mergeCells>
  <printOptions/>
  <pageMargins left="0.75" right="0.75" top="1" bottom="1" header="0.5" footer="0.5"/>
  <pageSetup fitToHeight="1" fitToWidth="1" horizontalDpi="300" verticalDpi="300" orientation="portrait" paperSize="9" scale="84" r:id="rId1"/>
  <headerFooter alignWithMargins="0">
    <oddHeader>&amp;C&amp;A</oddHeader>
    <oddFooter>&amp;LPage &amp;P of &amp;N&amp;C&amp;F&amp;R&amp;D</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X96"/>
  <sheetViews>
    <sheetView showGridLines="0" showRowColHeaders="0" zoomScale="75" zoomScaleNormal="75" workbookViewId="0" topLeftCell="A1">
      <selection activeCell="A1" sqref="A1"/>
    </sheetView>
  </sheetViews>
  <sheetFormatPr defaultColWidth="9.00390625" defaultRowHeight="14.25"/>
  <cols>
    <col min="1" max="1" width="49.00390625" style="68" customWidth="1"/>
    <col min="2" max="3" width="28.625" style="0" customWidth="1"/>
    <col min="4" max="4" width="7.50390625" style="0" customWidth="1"/>
    <col min="5" max="5" width="2.875" style="0" bestFit="1" customWidth="1"/>
    <col min="6" max="6" width="9.125" style="0" customWidth="1"/>
    <col min="7" max="7" width="3.625" style="0" customWidth="1"/>
    <col min="8" max="10" width="4.625" style="0" customWidth="1"/>
    <col min="11" max="23" width="2.625" style="0" customWidth="1"/>
    <col min="24" max="24" width="2.125" style="0" customWidth="1"/>
    <col min="25" max="25" width="27.375" style="0" customWidth="1"/>
    <col min="26" max="26" width="31.875" style="0" customWidth="1"/>
    <col min="27" max="27" width="7.50390625" style="0" customWidth="1"/>
    <col min="28" max="28" width="1.875" style="0" customWidth="1"/>
    <col min="31" max="31" width="8.625" style="0" customWidth="1"/>
    <col min="32" max="32" width="2.625" style="0" customWidth="1"/>
    <col min="33" max="34" width="2.125" style="0" customWidth="1"/>
    <col min="35" max="36" width="2.625" style="0" customWidth="1"/>
    <col min="37" max="37" width="3.00390625" style="0" customWidth="1"/>
    <col min="38" max="38" width="2.625" style="0" customWidth="1"/>
    <col min="39" max="43" width="2.125" style="0" customWidth="1"/>
  </cols>
  <sheetData>
    <row r="1" spans="1:24" ht="18">
      <c r="A1" s="404"/>
      <c r="B1" s="405" t="s">
        <v>335</v>
      </c>
      <c r="C1" s="406"/>
      <c r="D1" s="406"/>
      <c r="E1" s="407"/>
      <c r="F1" s="407"/>
      <c r="G1" s="408"/>
      <c r="H1" s="408"/>
      <c r="I1" s="408"/>
      <c r="J1" s="408"/>
      <c r="K1" s="408"/>
      <c r="L1" s="408"/>
      <c r="M1" s="408"/>
      <c r="N1" s="408"/>
      <c r="O1" s="408"/>
      <c r="P1" s="408"/>
      <c r="Q1" s="408"/>
      <c r="R1" s="408"/>
      <c r="S1" s="408"/>
      <c r="T1" s="408"/>
      <c r="U1" s="408"/>
      <c r="V1" s="408"/>
      <c r="W1" s="408"/>
      <c r="X1" s="409"/>
    </row>
    <row r="2" spans="1:24" ht="15">
      <c r="A2" s="410"/>
      <c r="B2" s="411"/>
      <c r="C2" s="411"/>
      <c r="D2" s="411"/>
      <c r="E2" s="411"/>
      <c r="F2" s="411"/>
      <c r="G2" s="411"/>
      <c r="H2" s="411"/>
      <c r="I2" s="411"/>
      <c r="J2" s="411"/>
      <c r="K2" s="411"/>
      <c r="L2" s="411"/>
      <c r="M2" s="411"/>
      <c r="N2" s="411"/>
      <c r="O2" s="411"/>
      <c r="P2" s="411"/>
      <c r="Q2" s="411"/>
      <c r="R2" s="411"/>
      <c r="S2" s="411"/>
      <c r="T2" s="411"/>
      <c r="U2" s="411"/>
      <c r="V2" s="411"/>
      <c r="W2" s="411"/>
      <c r="X2" s="412"/>
    </row>
    <row r="3" spans="1:24" ht="20.25">
      <c r="A3" s="410"/>
      <c r="B3" s="411"/>
      <c r="C3" s="413" t="s">
        <v>336</v>
      </c>
      <c r="D3" s="411"/>
      <c r="E3" s="411"/>
      <c r="F3" s="411"/>
      <c r="G3" s="411"/>
      <c r="H3" s="411"/>
      <c r="I3" s="411"/>
      <c r="J3" s="411"/>
      <c r="K3" s="411"/>
      <c r="L3" s="411"/>
      <c r="M3" s="411"/>
      <c r="N3" s="411"/>
      <c r="O3" s="411"/>
      <c r="P3" s="411"/>
      <c r="Q3" s="411"/>
      <c r="R3" s="411"/>
      <c r="S3" s="411"/>
      <c r="T3" s="411"/>
      <c r="U3" s="411"/>
      <c r="V3" s="411"/>
      <c r="W3" s="411"/>
      <c r="X3" s="412"/>
    </row>
    <row r="4" spans="1:24" ht="15">
      <c r="A4" s="410"/>
      <c r="B4" s="411"/>
      <c r="C4" s="411"/>
      <c r="D4" s="411"/>
      <c r="E4" s="411"/>
      <c r="F4" s="411"/>
      <c r="G4" s="411"/>
      <c r="H4" s="411"/>
      <c r="I4" s="411"/>
      <c r="J4" s="411"/>
      <c r="K4" s="411"/>
      <c r="L4" s="411"/>
      <c r="M4" s="411"/>
      <c r="N4" s="411"/>
      <c r="O4" s="411"/>
      <c r="P4" s="411"/>
      <c r="Q4" s="411"/>
      <c r="R4" s="411"/>
      <c r="S4" s="411"/>
      <c r="T4" s="411"/>
      <c r="U4" s="411"/>
      <c r="V4" s="411"/>
      <c r="W4" s="411"/>
      <c r="X4" s="412"/>
    </row>
    <row r="5" spans="1:24" ht="15">
      <c r="A5" s="410"/>
      <c r="B5" s="414" t="s">
        <v>337</v>
      </c>
      <c r="C5" s="408"/>
      <c r="D5" s="415" t="s">
        <v>338</v>
      </c>
      <c r="E5" s="489"/>
      <c r="F5" s="408"/>
      <c r="G5" s="408"/>
      <c r="H5" s="408"/>
      <c r="I5" s="408"/>
      <c r="J5" s="408"/>
      <c r="K5" s="408"/>
      <c r="L5" s="408"/>
      <c r="M5" s="408"/>
      <c r="N5" s="408"/>
      <c r="O5" s="408"/>
      <c r="P5" s="408"/>
      <c r="Q5" s="408"/>
      <c r="R5" s="408"/>
      <c r="S5" s="408"/>
      <c r="T5" s="408"/>
      <c r="U5" s="409"/>
      <c r="V5" s="411"/>
      <c r="W5" s="411"/>
      <c r="X5" s="412"/>
    </row>
    <row r="6" spans="1:24" ht="15">
      <c r="A6" s="410"/>
      <c r="B6" s="416" t="s">
        <v>339</v>
      </c>
      <c r="C6" s="417"/>
      <c r="D6" s="418"/>
      <c r="E6" s="416"/>
      <c r="F6" s="417"/>
      <c r="G6" s="417"/>
      <c r="H6" s="417"/>
      <c r="I6" s="417"/>
      <c r="J6" s="417"/>
      <c r="K6" s="417"/>
      <c r="L6" s="417"/>
      <c r="M6" s="417"/>
      <c r="N6" s="417"/>
      <c r="O6" s="417"/>
      <c r="P6" s="417"/>
      <c r="Q6" s="417"/>
      <c r="R6" s="417"/>
      <c r="S6" s="417"/>
      <c r="T6" s="417"/>
      <c r="U6" s="412"/>
      <c r="V6" s="411"/>
      <c r="W6" s="411"/>
      <c r="X6" s="412"/>
    </row>
    <row r="7" spans="1:24" ht="15">
      <c r="A7" s="410"/>
      <c r="B7" s="411"/>
      <c r="C7" s="419"/>
      <c r="D7" s="419"/>
      <c r="E7" s="419"/>
      <c r="F7" s="419"/>
      <c r="G7" s="411"/>
      <c r="H7" s="411"/>
      <c r="I7" s="411"/>
      <c r="J7" s="411"/>
      <c r="K7" s="411"/>
      <c r="L7" s="411"/>
      <c r="M7" s="411"/>
      <c r="N7" s="411"/>
      <c r="O7" s="411"/>
      <c r="P7" s="411"/>
      <c r="Q7" s="411"/>
      <c r="R7" s="411"/>
      <c r="S7" s="411"/>
      <c r="T7" s="411"/>
      <c r="U7" s="490"/>
      <c r="V7" s="411"/>
      <c r="W7" s="411"/>
      <c r="X7" s="412"/>
    </row>
    <row r="8" spans="1:24" ht="15">
      <c r="A8" s="410"/>
      <c r="B8" s="543" t="s">
        <v>340</v>
      </c>
      <c r="C8" s="512"/>
      <c r="D8" s="509"/>
      <c r="E8" s="519"/>
      <c r="F8" s="520"/>
      <c r="G8" s="520"/>
      <c r="H8" s="520"/>
      <c r="I8" s="520"/>
      <c r="J8" s="520"/>
      <c r="K8" s="520"/>
      <c r="L8" s="520"/>
      <c r="M8" s="520"/>
      <c r="N8" s="520"/>
      <c r="O8" s="520"/>
      <c r="P8" s="520"/>
      <c r="Q8" s="520"/>
      <c r="R8" s="520"/>
      <c r="S8" s="520"/>
      <c r="T8" s="513"/>
      <c r="U8" s="490"/>
      <c r="V8" s="411"/>
      <c r="W8" s="411"/>
      <c r="X8" s="412"/>
    </row>
    <row r="9" spans="1:24" ht="15">
      <c r="A9" s="421" t="s">
        <v>150</v>
      </c>
      <c r="B9" s="420"/>
      <c r="C9" s="537" t="s">
        <v>341</v>
      </c>
      <c r="D9" s="523" t="s">
        <v>342</v>
      </c>
      <c r="E9" s="538"/>
      <c r="F9" s="539"/>
      <c r="G9" s="526"/>
      <c r="H9" s="526"/>
      <c r="I9" s="526"/>
      <c r="J9" s="526"/>
      <c r="K9" s="526"/>
      <c r="L9" s="526"/>
      <c r="M9" s="526"/>
      <c r="N9" s="526"/>
      <c r="O9" s="526"/>
      <c r="P9" s="526"/>
      <c r="Q9" s="526"/>
      <c r="R9" s="526"/>
      <c r="S9" s="526"/>
      <c r="T9" s="527"/>
      <c r="U9" s="490"/>
      <c r="V9" s="411"/>
      <c r="W9" s="411"/>
      <c r="X9" s="412"/>
    </row>
    <row r="10" spans="1:24" ht="15">
      <c r="A10" s="421" t="s">
        <v>150</v>
      </c>
      <c r="B10" s="420"/>
      <c r="C10" s="540" t="s">
        <v>343</v>
      </c>
      <c r="D10" s="523" t="s">
        <v>344</v>
      </c>
      <c r="E10" s="538"/>
      <c r="F10" s="539"/>
      <c r="G10" s="526"/>
      <c r="H10" s="526"/>
      <c r="I10" s="526"/>
      <c r="J10" s="526"/>
      <c r="K10" s="526"/>
      <c r="L10" s="526"/>
      <c r="M10" s="526"/>
      <c r="N10" s="526"/>
      <c r="O10" s="526"/>
      <c r="P10" s="526"/>
      <c r="Q10" s="526"/>
      <c r="R10" s="526"/>
      <c r="S10" s="526"/>
      <c r="T10" s="527"/>
      <c r="U10" s="490"/>
      <c r="V10" s="411"/>
      <c r="W10" s="411"/>
      <c r="X10" s="412"/>
    </row>
    <row r="11" spans="1:24" ht="15">
      <c r="A11" s="421" t="s">
        <v>150</v>
      </c>
      <c r="B11" s="420"/>
      <c r="C11" s="540" t="s">
        <v>345</v>
      </c>
      <c r="D11" s="523" t="s">
        <v>346</v>
      </c>
      <c r="E11" s="538"/>
      <c r="F11" s="539"/>
      <c r="G11" s="526"/>
      <c r="H11" s="526"/>
      <c r="I11" s="526"/>
      <c r="J11" s="526"/>
      <c r="K11" s="526"/>
      <c r="L11" s="526"/>
      <c r="M11" s="526"/>
      <c r="N11" s="526"/>
      <c r="O11" s="526"/>
      <c r="P11" s="526"/>
      <c r="Q11" s="526"/>
      <c r="R11" s="526"/>
      <c r="S11" s="526"/>
      <c r="T11" s="527"/>
      <c r="U11" s="490"/>
      <c r="V11" s="411"/>
      <c r="W11" s="411"/>
      <c r="X11" s="412"/>
    </row>
    <row r="12" spans="1:24" ht="15">
      <c r="A12" s="410"/>
      <c r="B12" s="411"/>
      <c r="C12" s="540" t="s">
        <v>347</v>
      </c>
      <c r="D12" s="523" t="s">
        <v>348</v>
      </c>
      <c r="E12" s="541"/>
      <c r="F12" s="542"/>
      <c r="G12" s="530"/>
      <c r="H12" s="530"/>
      <c r="I12" s="530"/>
      <c r="J12" s="530"/>
      <c r="K12" s="530"/>
      <c r="L12" s="530"/>
      <c r="M12" s="530"/>
      <c r="N12" s="530"/>
      <c r="O12" s="530"/>
      <c r="P12" s="530"/>
      <c r="Q12" s="530"/>
      <c r="R12" s="530"/>
      <c r="S12" s="530"/>
      <c r="T12" s="527"/>
      <c r="U12" s="490"/>
      <c r="V12" s="411"/>
      <c r="W12" s="411"/>
      <c r="X12" s="412"/>
    </row>
    <row r="13" spans="1:24" ht="15">
      <c r="A13" s="410"/>
      <c r="B13" s="411"/>
      <c r="C13" s="419"/>
      <c r="D13" s="419"/>
      <c r="E13" s="419"/>
      <c r="F13" s="419"/>
      <c r="G13" s="411"/>
      <c r="H13" s="411"/>
      <c r="I13" s="411"/>
      <c r="J13" s="411"/>
      <c r="K13" s="411"/>
      <c r="L13" s="411"/>
      <c r="M13" s="411"/>
      <c r="N13" s="411"/>
      <c r="O13" s="411"/>
      <c r="P13" s="411"/>
      <c r="Q13" s="411"/>
      <c r="R13" s="411"/>
      <c r="S13" s="411"/>
      <c r="T13" s="514"/>
      <c r="U13" s="490"/>
      <c r="V13" s="411"/>
      <c r="W13" s="411"/>
      <c r="X13" s="412"/>
    </row>
    <row r="14" spans="1:24" ht="15">
      <c r="A14" s="410"/>
      <c r="B14" s="507" t="s">
        <v>349</v>
      </c>
      <c r="C14" s="423"/>
      <c r="D14" s="424"/>
      <c r="E14" s="496"/>
      <c r="F14" s="423"/>
      <c r="G14" s="408"/>
      <c r="H14" s="408"/>
      <c r="I14" s="408"/>
      <c r="J14" s="408"/>
      <c r="K14" s="408"/>
      <c r="L14" s="408"/>
      <c r="M14" s="408"/>
      <c r="N14" s="408"/>
      <c r="O14" s="408"/>
      <c r="P14" s="408"/>
      <c r="Q14" s="408"/>
      <c r="R14" s="408"/>
      <c r="S14" s="409"/>
      <c r="T14" s="514"/>
      <c r="U14" s="490"/>
      <c r="V14" s="411"/>
      <c r="W14" s="411"/>
      <c r="X14" s="412"/>
    </row>
    <row r="15" spans="1:24" ht="15">
      <c r="A15" s="425" t="s">
        <v>350</v>
      </c>
      <c r="B15" s="426" t="s">
        <v>351</v>
      </c>
      <c r="C15" s="423"/>
      <c r="D15" s="422" t="s">
        <v>352</v>
      </c>
      <c r="E15" s="494"/>
      <c r="F15" s="419"/>
      <c r="G15" s="411"/>
      <c r="H15" s="411"/>
      <c r="I15" s="411"/>
      <c r="J15" s="411"/>
      <c r="K15" s="411"/>
      <c r="L15" s="411"/>
      <c r="M15" s="411"/>
      <c r="N15" s="411"/>
      <c r="O15" s="411"/>
      <c r="P15" s="411"/>
      <c r="Q15" s="411"/>
      <c r="R15" s="411"/>
      <c r="S15" s="412"/>
      <c r="T15" s="514"/>
      <c r="U15" s="490"/>
      <c r="V15" s="411"/>
      <c r="W15" s="411"/>
      <c r="X15" s="412"/>
    </row>
    <row r="16" spans="1:24" ht="15">
      <c r="A16" s="410"/>
      <c r="B16" s="427" t="s">
        <v>353</v>
      </c>
      <c r="C16" s="428"/>
      <c r="D16" s="422" t="s">
        <v>354</v>
      </c>
      <c r="E16" s="494"/>
      <c r="F16" s="429">
        <v>1</v>
      </c>
      <c r="G16" s="411"/>
      <c r="H16" s="411"/>
      <c r="I16" s="411"/>
      <c r="J16" s="411"/>
      <c r="K16" s="411"/>
      <c r="L16" s="411"/>
      <c r="M16" s="411"/>
      <c r="N16" s="411"/>
      <c r="O16" s="411"/>
      <c r="P16" s="411"/>
      <c r="Q16" s="411"/>
      <c r="R16" s="411"/>
      <c r="S16" s="412"/>
      <c r="T16" s="514"/>
      <c r="U16" s="490"/>
      <c r="V16" s="411"/>
      <c r="W16" s="411"/>
      <c r="X16" s="412"/>
    </row>
    <row r="17" spans="1:24" ht="15">
      <c r="A17" s="430" t="s">
        <v>136</v>
      </c>
      <c r="B17" s="427" t="s">
        <v>355</v>
      </c>
      <c r="C17" s="428"/>
      <c r="D17" s="422" t="s">
        <v>356</v>
      </c>
      <c r="E17" s="494"/>
      <c r="F17" s="429">
        <v>2</v>
      </c>
      <c r="G17" s="411"/>
      <c r="H17" s="411"/>
      <c r="I17" s="411"/>
      <c r="J17" s="411"/>
      <c r="K17" s="411"/>
      <c r="L17" s="411"/>
      <c r="M17" s="411"/>
      <c r="N17" s="411"/>
      <c r="O17" s="411"/>
      <c r="P17" s="411"/>
      <c r="Q17" s="411"/>
      <c r="R17" s="411"/>
      <c r="S17" s="412"/>
      <c r="T17" s="514"/>
      <c r="U17" s="490"/>
      <c r="V17" s="411"/>
      <c r="W17" s="411"/>
      <c r="X17" s="412"/>
    </row>
    <row r="18" spans="1:24" ht="15">
      <c r="A18" s="431"/>
      <c r="B18" s="427" t="s">
        <v>357</v>
      </c>
      <c r="C18" s="428"/>
      <c r="D18" s="422" t="s">
        <v>348</v>
      </c>
      <c r="E18" s="494"/>
      <c r="F18" s="429">
        <v>3</v>
      </c>
      <c r="G18" s="411"/>
      <c r="H18" s="411"/>
      <c r="I18" s="411"/>
      <c r="J18" s="411"/>
      <c r="K18" s="411"/>
      <c r="L18" s="411"/>
      <c r="M18" s="411"/>
      <c r="N18" s="411"/>
      <c r="O18" s="411"/>
      <c r="P18" s="411"/>
      <c r="Q18" s="411"/>
      <c r="R18" s="411"/>
      <c r="S18" s="412"/>
      <c r="T18" s="514"/>
      <c r="U18" s="490"/>
      <c r="V18" s="411"/>
      <c r="W18" s="411"/>
      <c r="X18" s="412"/>
    </row>
    <row r="19" spans="1:24" ht="15">
      <c r="A19" s="431" t="s">
        <v>136</v>
      </c>
      <c r="B19" s="427" t="s">
        <v>358</v>
      </c>
      <c r="C19" s="428"/>
      <c r="D19" s="422" t="s">
        <v>346</v>
      </c>
      <c r="E19" s="494"/>
      <c r="F19" s="429">
        <v>4</v>
      </c>
      <c r="G19" s="411"/>
      <c r="H19" s="411"/>
      <c r="I19" s="411"/>
      <c r="J19" s="411"/>
      <c r="K19" s="411"/>
      <c r="L19" s="411"/>
      <c r="M19" s="411"/>
      <c r="N19" s="411"/>
      <c r="O19" s="411"/>
      <c r="P19" s="411"/>
      <c r="Q19" s="411"/>
      <c r="R19" s="411"/>
      <c r="S19" s="412"/>
      <c r="T19" s="514"/>
      <c r="U19" s="490"/>
      <c r="V19" s="411"/>
      <c r="W19" s="411"/>
      <c r="X19" s="412"/>
    </row>
    <row r="20" spans="1:24" ht="15">
      <c r="A20" s="425" t="s">
        <v>359</v>
      </c>
      <c r="B20" s="427" t="s">
        <v>360</v>
      </c>
      <c r="C20" s="428"/>
      <c r="D20" s="422" t="s">
        <v>344</v>
      </c>
      <c r="E20" s="494"/>
      <c r="F20" s="429">
        <v>5</v>
      </c>
      <c r="G20" s="411"/>
      <c r="H20" s="411"/>
      <c r="I20" s="411"/>
      <c r="J20" s="411"/>
      <c r="K20" s="411"/>
      <c r="L20" s="411"/>
      <c r="M20" s="411"/>
      <c r="N20" s="411"/>
      <c r="O20" s="411"/>
      <c r="P20" s="411"/>
      <c r="Q20" s="411"/>
      <c r="R20" s="411"/>
      <c r="S20" s="412"/>
      <c r="T20" s="514"/>
      <c r="U20" s="490"/>
      <c r="V20" s="411"/>
      <c r="W20" s="411"/>
      <c r="X20" s="412"/>
    </row>
    <row r="21" spans="1:24" s="176" customFormat="1" ht="15">
      <c r="A21" s="425" t="s">
        <v>118</v>
      </c>
      <c r="B21" s="427" t="s">
        <v>361</v>
      </c>
      <c r="C21" s="432"/>
      <c r="D21" s="433" t="s">
        <v>362</v>
      </c>
      <c r="E21" s="497"/>
      <c r="F21" s="429"/>
      <c r="G21" s="434"/>
      <c r="H21" s="434"/>
      <c r="I21" s="434"/>
      <c r="J21" s="434"/>
      <c r="K21" s="434"/>
      <c r="L21" s="434"/>
      <c r="M21" s="434"/>
      <c r="N21" s="434"/>
      <c r="O21" s="434"/>
      <c r="P21" s="434"/>
      <c r="Q21" s="434"/>
      <c r="R21" s="434"/>
      <c r="S21" s="435"/>
      <c r="T21" s="536"/>
      <c r="U21" s="491"/>
      <c r="V21" s="434"/>
      <c r="W21" s="434"/>
      <c r="X21" s="435"/>
    </row>
    <row r="22" spans="1:24" s="176" customFormat="1" ht="15">
      <c r="A22" s="425" t="s">
        <v>118</v>
      </c>
      <c r="B22" s="427" t="s">
        <v>363</v>
      </c>
      <c r="C22" s="432"/>
      <c r="D22" s="433" t="s">
        <v>364</v>
      </c>
      <c r="E22" s="497"/>
      <c r="F22" s="429"/>
      <c r="G22" s="434"/>
      <c r="H22" s="434"/>
      <c r="I22" s="434"/>
      <c r="J22" s="434"/>
      <c r="K22" s="434"/>
      <c r="L22" s="434"/>
      <c r="M22" s="434"/>
      <c r="N22" s="434"/>
      <c r="O22" s="434"/>
      <c r="P22" s="434"/>
      <c r="Q22" s="434"/>
      <c r="R22" s="434"/>
      <c r="S22" s="435"/>
      <c r="T22" s="536"/>
      <c r="U22" s="491"/>
      <c r="V22" s="434"/>
      <c r="W22" s="434"/>
      <c r="X22" s="435"/>
    </row>
    <row r="23" spans="1:24" s="176" customFormat="1" ht="15">
      <c r="A23" s="425" t="s">
        <v>365</v>
      </c>
      <c r="B23" s="427" t="s">
        <v>366</v>
      </c>
      <c r="C23" s="436"/>
      <c r="D23" s="433" t="s">
        <v>367</v>
      </c>
      <c r="E23" s="498"/>
      <c r="F23" s="499">
        <v>6</v>
      </c>
      <c r="G23" s="500"/>
      <c r="H23" s="500"/>
      <c r="I23" s="500"/>
      <c r="J23" s="500"/>
      <c r="K23" s="500"/>
      <c r="L23" s="500"/>
      <c r="M23" s="500"/>
      <c r="N23" s="500"/>
      <c r="O23" s="500"/>
      <c r="P23" s="500"/>
      <c r="Q23" s="500"/>
      <c r="R23" s="500"/>
      <c r="S23" s="435"/>
      <c r="T23" s="536"/>
      <c r="U23" s="491"/>
      <c r="V23" s="434"/>
      <c r="W23" s="434"/>
      <c r="X23" s="435"/>
    </row>
    <row r="24" spans="1:24" ht="15">
      <c r="A24" s="410"/>
      <c r="B24" s="437"/>
      <c r="C24" s="419"/>
      <c r="D24" s="438"/>
      <c r="E24" s="419"/>
      <c r="F24" s="419"/>
      <c r="G24" s="411"/>
      <c r="H24" s="411"/>
      <c r="I24" s="411"/>
      <c r="J24" s="411"/>
      <c r="K24" s="411"/>
      <c r="L24" s="411"/>
      <c r="M24" s="411"/>
      <c r="N24" s="411"/>
      <c r="O24" s="411"/>
      <c r="P24" s="411"/>
      <c r="Q24" s="411"/>
      <c r="R24" s="411"/>
      <c r="S24" s="490"/>
      <c r="T24" s="514"/>
      <c r="U24" s="490"/>
      <c r="V24" s="411"/>
      <c r="W24" s="411"/>
      <c r="X24" s="412"/>
    </row>
    <row r="25" spans="1:24" ht="15">
      <c r="A25" s="410"/>
      <c r="B25" s="516" t="s">
        <v>368</v>
      </c>
      <c r="C25" s="531"/>
      <c r="D25" s="523"/>
      <c r="E25" s="544"/>
      <c r="F25" s="545"/>
      <c r="G25" s="520"/>
      <c r="H25" s="520"/>
      <c r="I25" s="520"/>
      <c r="J25" s="520"/>
      <c r="K25" s="520"/>
      <c r="L25" s="520"/>
      <c r="M25" s="520"/>
      <c r="N25" s="520"/>
      <c r="O25" s="520"/>
      <c r="P25" s="520"/>
      <c r="Q25" s="520"/>
      <c r="R25" s="513"/>
      <c r="S25" s="490"/>
      <c r="T25" s="514"/>
      <c r="U25" s="490"/>
      <c r="V25" s="411"/>
      <c r="W25" s="411"/>
      <c r="X25" s="412"/>
    </row>
    <row r="26" spans="1:24" ht="15">
      <c r="A26" s="425" t="s">
        <v>369</v>
      </c>
      <c r="B26" s="546" t="s">
        <v>370</v>
      </c>
      <c r="C26" s="531"/>
      <c r="D26" s="523">
        <v>0</v>
      </c>
      <c r="E26" s="538"/>
      <c r="F26" s="539"/>
      <c r="G26" s="526"/>
      <c r="H26" s="526"/>
      <c r="I26" s="526"/>
      <c r="J26" s="526"/>
      <c r="K26" s="526"/>
      <c r="L26" s="526"/>
      <c r="M26" s="526"/>
      <c r="N26" s="526"/>
      <c r="O26" s="526"/>
      <c r="P26" s="526"/>
      <c r="Q26" s="526"/>
      <c r="R26" s="527"/>
      <c r="S26" s="490"/>
      <c r="T26" s="514"/>
      <c r="U26" s="490"/>
      <c r="V26" s="411"/>
      <c r="W26" s="411"/>
      <c r="X26" s="412"/>
    </row>
    <row r="27" spans="1:24" ht="15">
      <c r="A27" s="431" t="s">
        <v>371</v>
      </c>
      <c r="B27" s="521" t="s">
        <v>372</v>
      </c>
      <c r="C27" s="531"/>
      <c r="D27" s="523">
        <v>1</v>
      </c>
      <c r="E27" s="538"/>
      <c r="F27" s="547">
        <v>10</v>
      </c>
      <c r="G27" s="526"/>
      <c r="H27" s="526"/>
      <c r="I27" s="526"/>
      <c r="J27" s="526"/>
      <c r="K27" s="526"/>
      <c r="L27" s="526"/>
      <c r="M27" s="526"/>
      <c r="N27" s="526"/>
      <c r="O27" s="526"/>
      <c r="P27" s="526"/>
      <c r="Q27" s="526"/>
      <c r="R27" s="527"/>
      <c r="S27" s="490"/>
      <c r="T27" s="514"/>
      <c r="U27" s="490"/>
      <c r="V27" s="411"/>
      <c r="W27" s="411"/>
      <c r="X27" s="412"/>
    </row>
    <row r="28" spans="1:24" ht="15">
      <c r="A28" s="425" t="s">
        <v>94</v>
      </c>
      <c r="B28" s="521" t="s">
        <v>373</v>
      </c>
      <c r="C28" s="531"/>
      <c r="D28" s="523">
        <v>4</v>
      </c>
      <c r="E28" s="541"/>
      <c r="F28" s="548">
        <v>40</v>
      </c>
      <c r="G28" s="530"/>
      <c r="H28" s="530"/>
      <c r="I28" s="530"/>
      <c r="J28" s="530"/>
      <c r="K28" s="530"/>
      <c r="L28" s="530"/>
      <c r="M28" s="530"/>
      <c r="N28" s="530"/>
      <c r="O28" s="530"/>
      <c r="P28" s="530"/>
      <c r="Q28" s="530"/>
      <c r="R28" s="533"/>
      <c r="S28" s="490"/>
      <c r="T28" s="514"/>
      <c r="U28" s="490"/>
      <c r="V28" s="411"/>
      <c r="W28" s="411"/>
      <c r="X28" s="412"/>
    </row>
    <row r="29" spans="1:24" ht="15" hidden="1">
      <c r="A29" s="410" t="s">
        <v>374</v>
      </c>
      <c r="B29" s="440" t="s">
        <v>375</v>
      </c>
      <c r="C29" s="441"/>
      <c r="D29" s="442">
        <v>5</v>
      </c>
      <c r="E29" s="495"/>
      <c r="F29" s="501" t="s">
        <v>376</v>
      </c>
      <c r="G29" s="417"/>
      <c r="H29" s="417"/>
      <c r="I29" s="417"/>
      <c r="J29" s="417"/>
      <c r="K29" s="417"/>
      <c r="L29" s="417"/>
      <c r="M29" s="417"/>
      <c r="N29" s="417"/>
      <c r="O29" s="417"/>
      <c r="P29" s="418"/>
      <c r="Q29" s="411"/>
      <c r="R29" s="526"/>
      <c r="S29" s="490"/>
      <c r="T29" s="514"/>
      <c r="U29" s="490"/>
      <c r="V29" s="411"/>
      <c r="W29" s="411"/>
      <c r="X29" s="412"/>
    </row>
    <row r="30" spans="1:24" ht="15">
      <c r="A30" s="410"/>
      <c r="B30" s="443"/>
      <c r="C30" s="428"/>
      <c r="D30" s="444"/>
      <c r="E30" s="419"/>
      <c r="F30" s="419"/>
      <c r="G30" s="411"/>
      <c r="H30" s="411"/>
      <c r="I30" s="411"/>
      <c r="J30" s="411"/>
      <c r="K30" s="411"/>
      <c r="L30" s="411"/>
      <c r="M30" s="411"/>
      <c r="N30" s="411"/>
      <c r="O30" s="411"/>
      <c r="P30" s="411"/>
      <c r="Q30" s="411"/>
      <c r="R30" s="534"/>
      <c r="S30" s="490"/>
      <c r="T30" s="514"/>
      <c r="U30" s="490"/>
      <c r="V30" s="411"/>
      <c r="W30" s="411"/>
      <c r="X30" s="412"/>
    </row>
    <row r="31" spans="1:24" ht="15">
      <c r="A31" s="410"/>
      <c r="B31" s="504" t="s">
        <v>377</v>
      </c>
      <c r="C31" s="428"/>
      <c r="D31" s="428"/>
      <c r="E31" s="445"/>
      <c r="F31" s="496"/>
      <c r="G31" s="408"/>
      <c r="H31" s="408"/>
      <c r="I31" s="408"/>
      <c r="J31" s="408"/>
      <c r="K31" s="408"/>
      <c r="L31" s="408"/>
      <c r="M31" s="408"/>
      <c r="N31" s="408"/>
      <c r="O31" s="408"/>
      <c r="P31" s="408"/>
      <c r="Q31" s="409"/>
      <c r="R31" s="514"/>
      <c r="S31" s="490"/>
      <c r="T31" s="514"/>
      <c r="U31" s="490"/>
      <c r="V31" s="411"/>
      <c r="W31" s="411"/>
      <c r="X31" s="412"/>
    </row>
    <row r="32" spans="1:24" ht="15">
      <c r="A32" s="410"/>
      <c r="B32" s="446" t="s">
        <v>378</v>
      </c>
      <c r="C32" s="447" t="s">
        <v>379</v>
      </c>
      <c r="D32" s="448"/>
      <c r="E32" s="445"/>
      <c r="F32" s="494"/>
      <c r="G32" s="411"/>
      <c r="H32" s="411"/>
      <c r="I32" s="411"/>
      <c r="J32" s="411"/>
      <c r="K32" s="411"/>
      <c r="L32" s="411"/>
      <c r="M32" s="411"/>
      <c r="N32" s="411"/>
      <c r="O32" s="411"/>
      <c r="P32" s="411"/>
      <c r="Q32" s="412"/>
      <c r="R32" s="514"/>
      <c r="S32" s="490"/>
      <c r="T32" s="514"/>
      <c r="U32" s="490"/>
      <c r="V32" s="411"/>
      <c r="W32" s="411"/>
      <c r="X32" s="412"/>
    </row>
    <row r="33" spans="1:24" ht="15">
      <c r="A33" s="410"/>
      <c r="B33" s="449"/>
      <c r="C33" s="450" t="s">
        <v>380</v>
      </c>
      <c r="D33" s="451" t="s">
        <v>381</v>
      </c>
      <c r="E33" s="452"/>
      <c r="F33" s="494"/>
      <c r="G33" s="411"/>
      <c r="H33" s="411"/>
      <c r="I33" s="411"/>
      <c r="J33" s="411"/>
      <c r="K33" s="411"/>
      <c r="L33" s="411"/>
      <c r="M33" s="411"/>
      <c r="N33" s="411"/>
      <c r="O33" s="411"/>
      <c r="P33" s="411"/>
      <c r="Q33" s="412"/>
      <c r="R33" s="514"/>
      <c r="S33" s="490"/>
      <c r="T33" s="514"/>
      <c r="U33" s="490"/>
      <c r="V33" s="411"/>
      <c r="W33" s="411"/>
      <c r="X33" s="412"/>
    </row>
    <row r="34" spans="1:24" ht="15">
      <c r="A34" s="431" t="s">
        <v>382</v>
      </c>
      <c r="B34" s="453" t="s">
        <v>383</v>
      </c>
      <c r="C34" s="454" t="s">
        <v>384</v>
      </c>
      <c r="D34" s="453" t="s">
        <v>385</v>
      </c>
      <c r="E34" s="455">
        <v>5</v>
      </c>
      <c r="F34" s="497"/>
      <c r="G34" s="411"/>
      <c r="H34" s="411"/>
      <c r="I34" s="411"/>
      <c r="J34" s="411"/>
      <c r="K34" s="411"/>
      <c r="L34" s="411"/>
      <c r="M34" s="411"/>
      <c r="N34" s="411"/>
      <c r="O34" s="411"/>
      <c r="P34" s="411"/>
      <c r="Q34" s="412"/>
      <c r="R34" s="514"/>
      <c r="S34" s="490"/>
      <c r="T34" s="514"/>
      <c r="U34" s="490"/>
      <c r="V34" s="411"/>
      <c r="W34" s="411"/>
      <c r="X34" s="412"/>
    </row>
    <row r="35" spans="1:24" ht="15">
      <c r="A35" s="456" t="s">
        <v>382</v>
      </c>
      <c r="B35" s="453" t="s">
        <v>386</v>
      </c>
      <c r="C35" s="454" t="s">
        <v>387</v>
      </c>
      <c r="D35" s="453" t="s">
        <v>388</v>
      </c>
      <c r="E35" s="455">
        <v>2</v>
      </c>
      <c r="F35" s="497"/>
      <c r="G35" s="411"/>
      <c r="H35" s="411"/>
      <c r="I35" s="411"/>
      <c r="J35" s="411"/>
      <c r="K35" s="411"/>
      <c r="L35" s="411"/>
      <c r="M35" s="411"/>
      <c r="N35" s="411"/>
      <c r="O35" s="411"/>
      <c r="P35" s="411"/>
      <c r="Q35" s="412"/>
      <c r="R35" s="514"/>
      <c r="S35" s="490"/>
      <c r="T35" s="514"/>
      <c r="U35" s="490"/>
      <c r="V35" s="411"/>
      <c r="W35" s="411"/>
      <c r="X35" s="412"/>
    </row>
    <row r="36" spans="1:24" ht="15">
      <c r="A36" s="425" t="s">
        <v>389</v>
      </c>
      <c r="B36" s="453" t="s">
        <v>390</v>
      </c>
      <c r="C36" s="454" t="s">
        <v>391</v>
      </c>
      <c r="D36" s="453" t="s">
        <v>392</v>
      </c>
      <c r="E36" s="455">
        <v>9</v>
      </c>
      <c r="F36" s="498"/>
      <c r="G36" s="417"/>
      <c r="H36" s="417"/>
      <c r="I36" s="417"/>
      <c r="J36" s="417"/>
      <c r="K36" s="417"/>
      <c r="L36" s="417"/>
      <c r="M36" s="417"/>
      <c r="N36" s="417"/>
      <c r="O36" s="417"/>
      <c r="P36" s="417"/>
      <c r="Q36" s="412"/>
      <c r="R36" s="514"/>
      <c r="S36" s="490"/>
      <c r="T36" s="514"/>
      <c r="U36" s="490"/>
      <c r="V36" s="411"/>
      <c r="W36" s="411"/>
      <c r="X36" s="412"/>
    </row>
    <row r="37" spans="1:24" ht="15">
      <c r="A37" s="410"/>
      <c r="B37" s="411"/>
      <c r="C37" s="411"/>
      <c r="D37" s="411"/>
      <c r="E37" s="411"/>
      <c r="F37" s="411"/>
      <c r="G37" s="411"/>
      <c r="H37" s="411"/>
      <c r="I37" s="411"/>
      <c r="J37" s="411"/>
      <c r="K37" s="411"/>
      <c r="L37" s="411"/>
      <c r="M37" s="411"/>
      <c r="N37" s="411"/>
      <c r="O37" s="411"/>
      <c r="P37" s="411"/>
      <c r="Q37" s="490"/>
      <c r="R37" s="514"/>
      <c r="S37" s="490"/>
      <c r="T37" s="514"/>
      <c r="U37" s="490"/>
      <c r="V37" s="411"/>
      <c r="W37" s="411"/>
      <c r="X37" s="412"/>
    </row>
    <row r="38" spans="1:24" ht="15">
      <c r="A38" s="410"/>
      <c r="B38" s="549" t="s">
        <v>393</v>
      </c>
      <c r="C38" s="512"/>
      <c r="D38" s="550" t="s">
        <v>498</v>
      </c>
      <c r="E38" s="551" t="s">
        <v>101</v>
      </c>
      <c r="F38" s="552"/>
      <c r="G38" s="553" t="s">
        <v>100</v>
      </c>
      <c r="H38" s="554"/>
      <c r="I38" s="554"/>
      <c r="J38" s="555"/>
      <c r="K38" s="519"/>
      <c r="L38" s="520"/>
      <c r="M38" s="520"/>
      <c r="N38" s="520"/>
      <c r="O38" s="520"/>
      <c r="P38" s="513"/>
      <c r="Q38" s="490"/>
      <c r="R38" s="514"/>
      <c r="S38" s="490"/>
      <c r="T38" s="514"/>
      <c r="U38" s="490"/>
      <c r="V38" s="411"/>
      <c r="W38" s="411"/>
      <c r="X38" s="412"/>
    </row>
    <row r="39" spans="1:24" ht="15">
      <c r="A39" s="421" t="s">
        <v>396</v>
      </c>
      <c r="B39" s="445"/>
      <c r="C39" s="556" t="s">
        <v>397</v>
      </c>
      <c r="D39" s="517" t="s">
        <v>356</v>
      </c>
      <c r="E39" s="551" t="s">
        <v>362</v>
      </c>
      <c r="F39" s="552"/>
      <c r="G39" s="553" t="s">
        <v>798</v>
      </c>
      <c r="H39" s="554"/>
      <c r="I39" s="554"/>
      <c r="J39" s="555"/>
      <c r="K39" s="524"/>
      <c r="L39" s="526"/>
      <c r="M39" s="526"/>
      <c r="N39" s="526"/>
      <c r="O39" s="526"/>
      <c r="P39" s="527"/>
      <c r="Q39" s="490"/>
      <c r="R39" s="514"/>
      <c r="S39" s="490"/>
      <c r="T39" s="514"/>
      <c r="U39" s="490"/>
      <c r="V39" s="411"/>
      <c r="W39" s="411"/>
      <c r="X39" s="412"/>
    </row>
    <row r="40" spans="1:24" ht="15">
      <c r="A40" s="457" t="s">
        <v>398</v>
      </c>
      <c r="B40" s="445"/>
      <c r="C40" s="556" t="s">
        <v>399</v>
      </c>
      <c r="D40" s="517" t="s">
        <v>346</v>
      </c>
      <c r="E40" s="551" t="s">
        <v>466</v>
      </c>
      <c r="F40" s="552"/>
      <c r="G40" s="553" t="s">
        <v>458</v>
      </c>
      <c r="H40" s="554"/>
      <c r="I40" s="554"/>
      <c r="J40" s="555"/>
      <c r="K40" s="524"/>
      <c r="L40" s="526"/>
      <c r="M40" s="526"/>
      <c r="N40" s="526"/>
      <c r="O40" s="526"/>
      <c r="P40" s="527"/>
      <c r="Q40" s="490"/>
      <c r="R40" s="514"/>
      <c r="S40" s="490"/>
      <c r="T40" s="514"/>
      <c r="U40" s="490"/>
      <c r="V40" s="411"/>
      <c r="W40" s="411"/>
      <c r="X40" s="412"/>
    </row>
    <row r="41" spans="1:24" ht="15">
      <c r="A41" s="421" t="s">
        <v>400</v>
      </c>
      <c r="B41" s="445"/>
      <c r="C41" s="556" t="s">
        <v>401</v>
      </c>
      <c r="D41" s="517" t="s">
        <v>402</v>
      </c>
      <c r="E41" s="551" t="s">
        <v>367</v>
      </c>
      <c r="F41" s="552"/>
      <c r="G41" s="553" t="s">
        <v>394</v>
      </c>
      <c r="H41" s="554"/>
      <c r="I41" s="554"/>
      <c r="J41" s="555"/>
      <c r="K41" s="528"/>
      <c r="L41" s="530"/>
      <c r="M41" s="530"/>
      <c r="N41" s="530"/>
      <c r="O41" s="530"/>
      <c r="P41" s="533"/>
      <c r="Q41" s="490"/>
      <c r="R41" s="514"/>
      <c r="S41" s="490"/>
      <c r="T41" s="514"/>
      <c r="U41" s="490"/>
      <c r="V41" s="411"/>
      <c r="W41" s="411"/>
      <c r="X41" s="412"/>
    </row>
    <row r="42" spans="1:24" ht="15">
      <c r="A42" s="410"/>
      <c r="B42" s="419"/>
      <c r="C42" s="438"/>
      <c r="D42" s="438"/>
      <c r="E42" s="411"/>
      <c r="F42" s="411"/>
      <c r="G42" s="411"/>
      <c r="H42" s="411"/>
      <c r="I42" s="411"/>
      <c r="J42" s="411"/>
      <c r="K42" s="411"/>
      <c r="L42" s="411"/>
      <c r="M42" s="411"/>
      <c r="N42" s="411"/>
      <c r="O42" s="411"/>
      <c r="P42" s="534"/>
      <c r="Q42" s="490"/>
      <c r="R42" s="514"/>
      <c r="S42" s="490"/>
      <c r="T42" s="514"/>
      <c r="U42" s="490"/>
      <c r="V42" s="411"/>
      <c r="W42" s="411"/>
      <c r="X42" s="412"/>
    </row>
    <row r="43" spans="1:24" ht="15">
      <c r="A43" s="410"/>
      <c r="B43" s="504" t="s">
        <v>403</v>
      </c>
      <c r="C43" s="428"/>
      <c r="D43" s="445"/>
      <c r="E43" s="489"/>
      <c r="F43" s="408"/>
      <c r="G43" s="408"/>
      <c r="H43" s="408"/>
      <c r="I43" s="408"/>
      <c r="J43" s="408"/>
      <c r="K43" s="408"/>
      <c r="L43" s="408"/>
      <c r="M43" s="408"/>
      <c r="N43" s="408"/>
      <c r="O43" s="409"/>
      <c r="P43" s="514"/>
      <c r="Q43" s="490"/>
      <c r="R43" s="514"/>
      <c r="S43" s="490"/>
      <c r="T43" s="514"/>
      <c r="U43" s="490"/>
      <c r="V43" s="411"/>
      <c r="W43" s="411"/>
      <c r="X43" s="412"/>
    </row>
    <row r="44" spans="1:24" ht="15">
      <c r="A44" s="410"/>
      <c r="B44" s="439" t="s">
        <v>404</v>
      </c>
      <c r="C44" s="420"/>
      <c r="D44" s="458" t="s">
        <v>405</v>
      </c>
      <c r="E44" s="479"/>
      <c r="F44" s="411"/>
      <c r="G44" s="411"/>
      <c r="H44" s="411"/>
      <c r="I44" s="411"/>
      <c r="J44" s="411"/>
      <c r="K44" s="411"/>
      <c r="L44" s="411"/>
      <c r="M44" s="411"/>
      <c r="N44" s="411"/>
      <c r="O44" s="412"/>
      <c r="P44" s="514"/>
      <c r="Q44" s="490"/>
      <c r="R44" s="514"/>
      <c r="S44" s="490"/>
      <c r="T44" s="514"/>
      <c r="U44" s="490"/>
      <c r="V44" s="411"/>
      <c r="W44" s="411"/>
      <c r="X44" s="412"/>
    </row>
    <row r="45" spans="1:24" ht="15">
      <c r="A45" s="459" t="s">
        <v>406</v>
      </c>
      <c r="B45" s="439" t="s">
        <v>99</v>
      </c>
      <c r="C45" s="420"/>
      <c r="D45" s="458" t="s">
        <v>407</v>
      </c>
      <c r="E45" s="479"/>
      <c r="F45" s="411"/>
      <c r="G45" s="411"/>
      <c r="H45" s="411"/>
      <c r="I45" s="411"/>
      <c r="J45" s="411"/>
      <c r="K45" s="411"/>
      <c r="L45" s="411"/>
      <c r="M45" s="411"/>
      <c r="N45" s="411"/>
      <c r="O45" s="412"/>
      <c r="P45" s="514"/>
      <c r="Q45" s="490"/>
      <c r="R45" s="514"/>
      <c r="S45" s="490"/>
      <c r="T45" s="514"/>
      <c r="U45" s="490"/>
      <c r="V45" s="411"/>
      <c r="W45" s="411"/>
      <c r="X45" s="412"/>
    </row>
    <row r="46" spans="1:24" ht="15">
      <c r="A46" s="460" t="s">
        <v>408</v>
      </c>
      <c r="B46" s="439" t="s">
        <v>409</v>
      </c>
      <c r="C46" s="461"/>
      <c r="D46" s="458" t="s">
        <v>410</v>
      </c>
      <c r="E46" s="479"/>
      <c r="F46" s="411"/>
      <c r="G46" s="411"/>
      <c r="H46" s="411"/>
      <c r="I46" s="411"/>
      <c r="J46" s="411"/>
      <c r="K46" s="411"/>
      <c r="L46" s="411"/>
      <c r="M46" s="411"/>
      <c r="N46" s="411"/>
      <c r="O46" s="412"/>
      <c r="P46" s="514"/>
      <c r="Q46" s="490"/>
      <c r="R46" s="514"/>
      <c r="S46" s="490"/>
      <c r="T46" s="514"/>
      <c r="U46" s="490"/>
      <c r="V46" s="411"/>
      <c r="W46" s="411"/>
      <c r="X46" s="412"/>
    </row>
    <row r="47" spans="1:24" ht="28.5">
      <c r="A47" s="462" t="s">
        <v>109</v>
      </c>
      <c r="B47" s="463" t="s">
        <v>89</v>
      </c>
      <c r="C47" s="464"/>
      <c r="D47" s="465" t="s">
        <v>411</v>
      </c>
      <c r="E47" s="479"/>
      <c r="F47" s="411"/>
      <c r="G47" s="411"/>
      <c r="H47" s="411"/>
      <c r="I47" s="411"/>
      <c r="J47" s="411"/>
      <c r="K47" s="411"/>
      <c r="L47" s="411"/>
      <c r="M47" s="411"/>
      <c r="N47" s="411"/>
      <c r="O47" s="412"/>
      <c r="P47" s="514"/>
      <c r="Q47" s="490"/>
      <c r="R47" s="514"/>
      <c r="S47" s="490"/>
      <c r="T47" s="514"/>
      <c r="U47" s="490"/>
      <c r="V47" s="411"/>
      <c r="W47" s="411"/>
      <c r="X47" s="412"/>
    </row>
    <row r="48" spans="1:24" ht="15">
      <c r="A48" s="459" t="s">
        <v>90</v>
      </c>
      <c r="B48" s="439" t="s">
        <v>110</v>
      </c>
      <c r="C48" s="420"/>
      <c r="D48" s="458" t="s">
        <v>91</v>
      </c>
      <c r="E48" s="479"/>
      <c r="F48" s="411"/>
      <c r="G48" s="411"/>
      <c r="H48" s="411"/>
      <c r="I48" s="411"/>
      <c r="J48" s="411"/>
      <c r="K48" s="411"/>
      <c r="L48" s="411"/>
      <c r="M48" s="411"/>
      <c r="N48" s="411"/>
      <c r="O48" s="412"/>
      <c r="P48" s="514"/>
      <c r="Q48" s="490"/>
      <c r="R48" s="514"/>
      <c r="S48" s="490"/>
      <c r="T48" s="514"/>
      <c r="U48" s="490"/>
      <c r="V48" s="411"/>
      <c r="W48" s="411"/>
      <c r="X48" s="412"/>
    </row>
    <row r="49" spans="1:24" s="327" customFormat="1" ht="18">
      <c r="A49" s="459" t="s">
        <v>121</v>
      </c>
      <c r="B49" s="439" t="s">
        <v>135</v>
      </c>
      <c r="C49" s="461"/>
      <c r="D49" s="458" t="s">
        <v>122</v>
      </c>
      <c r="E49" s="502"/>
      <c r="F49" s="466"/>
      <c r="G49" s="466"/>
      <c r="H49" s="466"/>
      <c r="I49" s="466"/>
      <c r="J49" s="466"/>
      <c r="K49" s="466"/>
      <c r="L49" s="466"/>
      <c r="M49" s="466"/>
      <c r="N49" s="466"/>
      <c r="O49" s="467"/>
      <c r="P49" s="535"/>
      <c r="Q49" s="492"/>
      <c r="R49" s="535"/>
      <c r="S49" s="492"/>
      <c r="T49" s="535"/>
      <c r="U49" s="492"/>
      <c r="V49" s="466"/>
      <c r="W49" s="466"/>
      <c r="X49" s="467"/>
    </row>
    <row r="50" spans="1:24" ht="15">
      <c r="A50" s="459" t="s">
        <v>412</v>
      </c>
      <c r="B50" s="439" t="s">
        <v>413</v>
      </c>
      <c r="C50" s="420"/>
      <c r="D50" s="468" t="s">
        <v>414</v>
      </c>
      <c r="E50" s="479"/>
      <c r="F50" s="411"/>
      <c r="G50" s="411"/>
      <c r="H50" s="411"/>
      <c r="I50" s="411"/>
      <c r="J50" s="411"/>
      <c r="K50" s="411"/>
      <c r="L50" s="411"/>
      <c r="M50" s="411"/>
      <c r="N50" s="411"/>
      <c r="O50" s="412"/>
      <c r="P50" s="514"/>
      <c r="Q50" s="490"/>
      <c r="R50" s="514"/>
      <c r="S50" s="490"/>
      <c r="T50" s="514"/>
      <c r="U50" s="490"/>
      <c r="V50" s="411"/>
      <c r="W50" s="411"/>
      <c r="X50" s="412"/>
    </row>
    <row r="51" spans="1:24" ht="15">
      <c r="A51" s="410"/>
      <c r="B51" s="439" t="s">
        <v>413</v>
      </c>
      <c r="C51" s="420"/>
      <c r="D51" s="468" t="s">
        <v>415</v>
      </c>
      <c r="E51" s="416"/>
      <c r="F51" s="417"/>
      <c r="G51" s="417"/>
      <c r="H51" s="417"/>
      <c r="I51" s="417"/>
      <c r="J51" s="417"/>
      <c r="K51" s="417"/>
      <c r="L51" s="417"/>
      <c r="M51" s="417"/>
      <c r="N51" s="411"/>
      <c r="O51" s="412"/>
      <c r="P51" s="514"/>
      <c r="Q51" s="490"/>
      <c r="R51" s="514"/>
      <c r="S51" s="490"/>
      <c r="T51" s="514"/>
      <c r="U51" s="490"/>
      <c r="V51" s="411"/>
      <c r="W51" s="411"/>
      <c r="X51" s="412"/>
    </row>
    <row r="52" spans="1:24" ht="15">
      <c r="A52" s="410"/>
      <c r="B52" s="437"/>
      <c r="C52" s="411"/>
      <c r="D52" s="469"/>
      <c r="E52" s="411"/>
      <c r="F52" s="411"/>
      <c r="G52" s="411"/>
      <c r="H52" s="411"/>
      <c r="I52" s="411"/>
      <c r="J52" s="411"/>
      <c r="K52" s="411"/>
      <c r="L52" s="411"/>
      <c r="M52" s="411"/>
      <c r="N52" s="479"/>
      <c r="O52" s="412"/>
      <c r="P52" s="514"/>
      <c r="Q52" s="490"/>
      <c r="R52" s="514"/>
      <c r="S52" s="490"/>
      <c r="T52" s="514"/>
      <c r="U52" s="490"/>
      <c r="V52" s="411"/>
      <c r="W52" s="411"/>
      <c r="X52" s="412"/>
    </row>
    <row r="53" spans="1:24" ht="15">
      <c r="A53" s="410"/>
      <c r="B53" s="508" t="s">
        <v>416</v>
      </c>
      <c r="C53" s="512"/>
      <c r="D53" s="509"/>
      <c r="E53" s="519"/>
      <c r="F53" s="520"/>
      <c r="G53" s="520"/>
      <c r="H53" s="520"/>
      <c r="I53" s="520"/>
      <c r="J53" s="520"/>
      <c r="K53" s="520"/>
      <c r="L53" s="520"/>
      <c r="M53" s="513"/>
      <c r="N53" s="479"/>
      <c r="O53" s="412"/>
      <c r="P53" s="514"/>
      <c r="Q53" s="490"/>
      <c r="R53" s="514"/>
      <c r="S53" s="490"/>
      <c r="T53" s="514"/>
      <c r="U53" s="490"/>
      <c r="V53" s="411"/>
      <c r="W53" s="411"/>
      <c r="X53" s="412"/>
    </row>
    <row r="54" spans="1:24" ht="15">
      <c r="A54" s="410"/>
      <c r="B54" s="521" t="s">
        <v>417</v>
      </c>
      <c r="C54" s="522"/>
      <c r="D54" s="557">
        <v>2</v>
      </c>
      <c r="E54" s="524"/>
      <c r="F54" s="526"/>
      <c r="G54" s="526"/>
      <c r="H54" s="526"/>
      <c r="I54" s="526"/>
      <c r="J54" s="526"/>
      <c r="K54" s="526"/>
      <c r="L54" s="526"/>
      <c r="M54" s="527"/>
      <c r="N54" s="479"/>
      <c r="O54" s="412"/>
      <c r="P54" s="514"/>
      <c r="Q54" s="490"/>
      <c r="R54" s="514"/>
      <c r="S54" s="490"/>
      <c r="T54" s="514"/>
      <c r="U54" s="490"/>
      <c r="V54" s="411"/>
      <c r="W54" s="411"/>
      <c r="X54" s="412"/>
    </row>
    <row r="55" spans="1:24" ht="15">
      <c r="A55" s="459" t="s">
        <v>418</v>
      </c>
      <c r="B55" s="521" t="s">
        <v>419</v>
      </c>
      <c r="C55" s="522"/>
      <c r="D55" s="557">
        <v>2</v>
      </c>
      <c r="E55" s="524"/>
      <c r="F55" s="526"/>
      <c r="G55" s="526"/>
      <c r="H55" s="526"/>
      <c r="I55" s="526"/>
      <c r="J55" s="526"/>
      <c r="K55" s="526"/>
      <c r="L55" s="526"/>
      <c r="M55" s="527"/>
      <c r="N55" s="479"/>
      <c r="O55" s="412"/>
      <c r="P55" s="514"/>
      <c r="Q55" s="490"/>
      <c r="R55" s="514"/>
      <c r="S55" s="490"/>
      <c r="T55" s="514"/>
      <c r="U55" s="490"/>
      <c r="V55" s="411"/>
      <c r="W55" s="411"/>
      <c r="X55" s="412"/>
    </row>
    <row r="56" spans="1:24" ht="15">
      <c r="A56" s="459" t="s">
        <v>420</v>
      </c>
      <c r="B56" s="521" t="s">
        <v>421</v>
      </c>
      <c r="C56" s="522"/>
      <c r="D56" s="557">
        <v>1</v>
      </c>
      <c r="E56" s="528"/>
      <c r="F56" s="530"/>
      <c r="G56" s="530"/>
      <c r="H56" s="530"/>
      <c r="I56" s="530"/>
      <c r="J56" s="530"/>
      <c r="K56" s="530"/>
      <c r="L56" s="530"/>
      <c r="M56" s="527"/>
      <c r="N56" s="479"/>
      <c r="O56" s="412"/>
      <c r="P56" s="514"/>
      <c r="Q56" s="490"/>
      <c r="R56" s="514"/>
      <c r="S56" s="490"/>
      <c r="T56" s="514"/>
      <c r="U56" s="490"/>
      <c r="V56" s="411"/>
      <c r="W56" s="411"/>
      <c r="X56" s="412"/>
    </row>
    <row r="57" spans="1:24" ht="15">
      <c r="A57" s="410"/>
      <c r="B57" s="437"/>
      <c r="C57" s="470"/>
      <c r="D57" s="438"/>
      <c r="E57" s="411"/>
      <c r="F57" s="411"/>
      <c r="G57" s="411"/>
      <c r="H57" s="411"/>
      <c r="I57" s="411"/>
      <c r="J57" s="411"/>
      <c r="K57" s="411"/>
      <c r="L57" s="411"/>
      <c r="M57" s="514"/>
      <c r="N57" s="479"/>
      <c r="O57" s="412"/>
      <c r="P57" s="514"/>
      <c r="Q57" s="490"/>
      <c r="R57" s="514"/>
      <c r="S57" s="490"/>
      <c r="T57" s="514"/>
      <c r="U57" s="490"/>
      <c r="V57" s="411"/>
      <c r="W57" s="411"/>
      <c r="X57" s="412"/>
    </row>
    <row r="58" spans="1:24" ht="15">
      <c r="A58" s="410"/>
      <c r="B58" s="506" t="s">
        <v>422</v>
      </c>
      <c r="C58" s="423"/>
      <c r="D58" s="424"/>
      <c r="E58" s="489"/>
      <c r="F58" s="408"/>
      <c r="G58" s="408"/>
      <c r="H58" s="408"/>
      <c r="I58" s="408"/>
      <c r="J58" s="408"/>
      <c r="K58" s="408"/>
      <c r="L58" s="409"/>
      <c r="M58" s="514"/>
      <c r="N58" s="479"/>
      <c r="O58" s="412"/>
      <c r="P58" s="514"/>
      <c r="Q58" s="490"/>
      <c r="R58" s="514"/>
      <c r="S58" s="490"/>
      <c r="T58" s="514"/>
      <c r="U58" s="490"/>
      <c r="V58" s="411"/>
      <c r="W58" s="411"/>
      <c r="X58" s="412"/>
    </row>
    <row r="59" spans="1:24" ht="15">
      <c r="A59" s="459" t="s">
        <v>1102</v>
      </c>
      <c r="B59" s="439" t="s">
        <v>423</v>
      </c>
      <c r="C59" s="471"/>
      <c r="D59" s="472">
        <v>0</v>
      </c>
      <c r="E59" s="479"/>
      <c r="F59" s="473">
        <v>5001</v>
      </c>
      <c r="G59" s="411"/>
      <c r="H59" s="411"/>
      <c r="I59" s="411"/>
      <c r="J59" s="411"/>
      <c r="K59" s="411"/>
      <c r="L59" s="412"/>
      <c r="M59" s="514"/>
      <c r="N59" s="479"/>
      <c r="O59" s="412"/>
      <c r="P59" s="514"/>
      <c r="Q59" s="490"/>
      <c r="R59" s="514"/>
      <c r="S59" s="490"/>
      <c r="T59" s="514"/>
      <c r="U59" s="490"/>
      <c r="V59" s="411"/>
      <c r="W59" s="411"/>
      <c r="X59" s="412"/>
    </row>
    <row r="60" spans="1:24" ht="15">
      <c r="A60" s="459" t="s">
        <v>424</v>
      </c>
      <c r="B60" s="439" t="s">
        <v>425</v>
      </c>
      <c r="C60" s="471"/>
      <c r="D60" s="452">
        <v>1</v>
      </c>
      <c r="E60" s="479"/>
      <c r="F60" s="473">
        <v>1000</v>
      </c>
      <c r="G60" s="411"/>
      <c r="H60" s="411"/>
      <c r="I60" s="411"/>
      <c r="J60" s="411"/>
      <c r="K60" s="411"/>
      <c r="L60" s="412"/>
      <c r="M60" s="514"/>
      <c r="N60" s="479"/>
      <c r="O60" s="412"/>
      <c r="P60" s="514"/>
      <c r="Q60" s="490"/>
      <c r="R60" s="514"/>
      <c r="S60" s="490"/>
      <c r="T60" s="514"/>
      <c r="U60" s="490"/>
      <c r="V60" s="411"/>
      <c r="W60" s="411"/>
      <c r="X60" s="412"/>
    </row>
    <row r="61" spans="1:24" ht="15">
      <c r="A61" s="459" t="s">
        <v>426</v>
      </c>
      <c r="B61" s="439" t="s">
        <v>427</v>
      </c>
      <c r="C61" s="471"/>
      <c r="D61" s="472">
        <v>2</v>
      </c>
      <c r="E61" s="479"/>
      <c r="F61" s="473">
        <v>2000</v>
      </c>
      <c r="G61" s="411"/>
      <c r="H61" s="411"/>
      <c r="I61" s="411"/>
      <c r="J61" s="411"/>
      <c r="K61" s="411"/>
      <c r="L61" s="412"/>
      <c r="M61" s="514"/>
      <c r="N61" s="479"/>
      <c r="O61" s="412"/>
      <c r="P61" s="514"/>
      <c r="Q61" s="490"/>
      <c r="R61" s="514"/>
      <c r="S61" s="490"/>
      <c r="T61" s="514"/>
      <c r="U61" s="490"/>
      <c r="V61" s="411"/>
      <c r="W61" s="411"/>
      <c r="X61" s="412"/>
    </row>
    <row r="62" spans="1:24" ht="15">
      <c r="A62" s="459" t="s">
        <v>428</v>
      </c>
      <c r="B62" s="439" t="s">
        <v>429</v>
      </c>
      <c r="C62" s="471"/>
      <c r="D62" s="472">
        <v>2</v>
      </c>
      <c r="E62" s="479"/>
      <c r="F62" s="473"/>
      <c r="G62" s="411"/>
      <c r="H62" s="411"/>
      <c r="I62" s="411"/>
      <c r="J62" s="411"/>
      <c r="K62" s="411"/>
      <c r="L62" s="412"/>
      <c r="M62" s="514"/>
      <c r="N62" s="479"/>
      <c r="O62" s="412"/>
      <c r="P62" s="514"/>
      <c r="Q62" s="490"/>
      <c r="R62" s="514"/>
      <c r="S62" s="490"/>
      <c r="T62" s="514"/>
      <c r="U62" s="490"/>
      <c r="V62" s="411"/>
      <c r="W62" s="411"/>
      <c r="X62" s="412"/>
    </row>
    <row r="63" spans="1:24" ht="15">
      <c r="A63" s="459" t="s">
        <v>430</v>
      </c>
      <c r="B63" s="439" t="s">
        <v>431</v>
      </c>
      <c r="C63" s="471"/>
      <c r="D63" s="472">
        <v>3</v>
      </c>
      <c r="E63" s="479"/>
      <c r="F63" s="473">
        <v>3000</v>
      </c>
      <c r="G63" s="411"/>
      <c r="H63" s="411"/>
      <c r="I63" s="411"/>
      <c r="J63" s="411"/>
      <c r="K63" s="411"/>
      <c r="L63" s="412"/>
      <c r="M63" s="514"/>
      <c r="N63" s="479"/>
      <c r="O63" s="412"/>
      <c r="P63" s="514"/>
      <c r="Q63" s="490"/>
      <c r="R63" s="514"/>
      <c r="S63" s="490"/>
      <c r="T63" s="514"/>
      <c r="U63" s="490"/>
      <c r="V63" s="411"/>
      <c r="W63" s="411"/>
      <c r="X63" s="412"/>
    </row>
    <row r="64" spans="1:24" ht="15">
      <c r="A64" s="410"/>
      <c r="B64" s="439" t="s">
        <v>432</v>
      </c>
      <c r="C64" s="471"/>
      <c r="D64" s="472">
        <v>4</v>
      </c>
      <c r="E64" s="479"/>
      <c r="F64" s="473">
        <v>3000</v>
      </c>
      <c r="G64" s="411"/>
      <c r="H64" s="411"/>
      <c r="I64" s="411"/>
      <c r="J64" s="411"/>
      <c r="K64" s="411"/>
      <c r="L64" s="412"/>
      <c r="M64" s="514"/>
      <c r="N64" s="479"/>
      <c r="O64" s="412"/>
      <c r="P64" s="514"/>
      <c r="Q64" s="490"/>
      <c r="R64" s="514"/>
      <c r="S64" s="490"/>
      <c r="T64" s="514"/>
      <c r="U64" s="490"/>
      <c r="V64" s="411"/>
      <c r="W64" s="411"/>
      <c r="X64" s="412"/>
    </row>
    <row r="65" spans="1:24" ht="15">
      <c r="A65" s="459" t="s">
        <v>433</v>
      </c>
      <c r="B65" s="439" t="s">
        <v>434</v>
      </c>
      <c r="C65" s="471"/>
      <c r="D65" s="472">
        <v>4</v>
      </c>
      <c r="E65" s="479"/>
      <c r="F65" s="473"/>
      <c r="G65" s="411"/>
      <c r="H65" s="411"/>
      <c r="I65" s="411"/>
      <c r="J65" s="411"/>
      <c r="K65" s="411"/>
      <c r="L65" s="412"/>
      <c r="M65" s="514"/>
      <c r="N65" s="479"/>
      <c r="O65" s="412"/>
      <c r="P65" s="514"/>
      <c r="Q65" s="490"/>
      <c r="R65" s="514"/>
      <c r="S65" s="490"/>
      <c r="T65" s="514"/>
      <c r="U65" s="490"/>
      <c r="V65" s="411"/>
      <c r="W65" s="411"/>
      <c r="X65" s="412"/>
    </row>
    <row r="66" spans="1:24" ht="15">
      <c r="A66" s="459" t="s">
        <v>435</v>
      </c>
      <c r="B66" s="439" t="s">
        <v>436</v>
      </c>
      <c r="C66" s="471"/>
      <c r="D66" s="472">
        <v>5</v>
      </c>
      <c r="E66" s="416"/>
      <c r="F66" s="503">
        <v>5000</v>
      </c>
      <c r="G66" s="417"/>
      <c r="H66" s="417"/>
      <c r="I66" s="417"/>
      <c r="J66" s="417"/>
      <c r="K66" s="417"/>
      <c r="L66" s="412"/>
      <c r="M66" s="514"/>
      <c r="N66" s="479"/>
      <c r="O66" s="412"/>
      <c r="P66" s="514"/>
      <c r="Q66" s="490"/>
      <c r="R66" s="514"/>
      <c r="S66" s="490"/>
      <c r="T66" s="514"/>
      <c r="U66" s="490"/>
      <c r="V66" s="411"/>
      <c r="W66" s="411"/>
      <c r="X66" s="412"/>
    </row>
    <row r="67" spans="1:24" ht="15">
      <c r="A67" s="410"/>
      <c r="B67" s="437"/>
      <c r="C67" s="470"/>
      <c r="D67" s="474"/>
      <c r="E67" s="411"/>
      <c r="F67" s="411"/>
      <c r="G67" s="411"/>
      <c r="H67" s="411"/>
      <c r="I67" s="411"/>
      <c r="J67" s="411"/>
      <c r="K67" s="411"/>
      <c r="L67" s="490"/>
      <c r="M67" s="514"/>
      <c r="N67" s="479"/>
      <c r="O67" s="412"/>
      <c r="P67" s="514"/>
      <c r="Q67" s="490"/>
      <c r="R67" s="514"/>
      <c r="S67" s="490"/>
      <c r="T67" s="514"/>
      <c r="U67" s="490"/>
      <c r="V67" s="411"/>
      <c r="W67" s="411"/>
      <c r="X67" s="412"/>
    </row>
    <row r="68" spans="1:24" ht="15">
      <c r="A68" s="410"/>
      <c r="B68" s="508" t="s">
        <v>437</v>
      </c>
      <c r="C68" s="531"/>
      <c r="D68" s="522"/>
      <c r="E68" s="519"/>
      <c r="F68" s="520"/>
      <c r="G68" s="520"/>
      <c r="H68" s="520"/>
      <c r="I68" s="520"/>
      <c r="J68" s="520"/>
      <c r="K68" s="513"/>
      <c r="L68" s="490"/>
      <c r="M68" s="514"/>
      <c r="N68" s="479"/>
      <c r="O68" s="412"/>
      <c r="P68" s="514"/>
      <c r="Q68" s="490"/>
      <c r="R68" s="514"/>
      <c r="S68" s="490"/>
      <c r="T68" s="514"/>
      <c r="U68" s="490"/>
      <c r="V68" s="411"/>
      <c r="W68" s="411"/>
      <c r="X68" s="412"/>
    </row>
    <row r="69" spans="1:24" ht="15">
      <c r="A69" s="410"/>
      <c r="B69" s="521" t="s">
        <v>438</v>
      </c>
      <c r="C69" s="509"/>
      <c r="D69" s="532">
        <v>1</v>
      </c>
      <c r="E69" s="524"/>
      <c r="F69" s="525">
        <v>10000</v>
      </c>
      <c r="G69" s="526"/>
      <c r="H69" s="526"/>
      <c r="I69" s="526"/>
      <c r="J69" s="526"/>
      <c r="K69" s="527"/>
      <c r="L69" s="490"/>
      <c r="M69" s="514"/>
      <c r="N69" s="479"/>
      <c r="O69" s="412"/>
      <c r="P69" s="514"/>
      <c r="Q69" s="490"/>
      <c r="R69" s="514"/>
      <c r="S69" s="490"/>
      <c r="T69" s="514"/>
      <c r="U69" s="490"/>
      <c r="V69" s="411"/>
      <c r="W69" s="411"/>
      <c r="X69" s="412"/>
    </row>
    <row r="70" spans="1:24" ht="15">
      <c r="A70" s="459" t="s">
        <v>439</v>
      </c>
      <c r="B70" s="521" t="s">
        <v>440</v>
      </c>
      <c r="C70" s="509"/>
      <c r="D70" s="532">
        <v>2</v>
      </c>
      <c r="E70" s="524"/>
      <c r="F70" s="525">
        <v>20000</v>
      </c>
      <c r="G70" s="526"/>
      <c r="H70" s="526"/>
      <c r="I70" s="526"/>
      <c r="J70" s="526"/>
      <c r="K70" s="527"/>
      <c r="L70" s="490"/>
      <c r="M70" s="514"/>
      <c r="N70" s="479"/>
      <c r="O70" s="412"/>
      <c r="P70" s="514"/>
      <c r="Q70" s="490"/>
      <c r="R70" s="514"/>
      <c r="S70" s="490"/>
      <c r="T70" s="514"/>
      <c r="U70" s="490"/>
      <c r="V70" s="411"/>
      <c r="W70" s="411"/>
      <c r="X70" s="412"/>
    </row>
    <row r="71" spans="1:24" ht="15">
      <c r="A71" s="459" t="s">
        <v>238</v>
      </c>
      <c r="B71" s="521" t="s">
        <v>237</v>
      </c>
      <c r="C71" s="509"/>
      <c r="D71" s="532">
        <v>2</v>
      </c>
      <c r="E71" s="524"/>
      <c r="F71" s="525"/>
      <c r="G71" s="526"/>
      <c r="H71" s="526"/>
      <c r="I71" s="526"/>
      <c r="J71" s="526"/>
      <c r="K71" s="527"/>
      <c r="L71" s="490"/>
      <c r="M71" s="514"/>
      <c r="N71" s="479"/>
      <c r="O71" s="412"/>
      <c r="P71" s="514"/>
      <c r="Q71" s="490"/>
      <c r="R71" s="514"/>
      <c r="S71" s="490"/>
      <c r="T71" s="514"/>
      <c r="U71" s="490"/>
      <c r="V71" s="411"/>
      <c r="W71" s="411"/>
      <c r="X71" s="412"/>
    </row>
    <row r="72" spans="1:24" ht="15">
      <c r="A72" s="460" t="s">
        <v>441</v>
      </c>
      <c r="B72" s="521" t="s">
        <v>442</v>
      </c>
      <c r="C72" s="509"/>
      <c r="D72" s="532">
        <v>3</v>
      </c>
      <c r="E72" s="528"/>
      <c r="F72" s="529">
        <v>20001</v>
      </c>
      <c r="G72" s="530"/>
      <c r="H72" s="530"/>
      <c r="I72" s="530"/>
      <c r="J72" s="530"/>
      <c r="K72" s="527"/>
      <c r="L72" s="490"/>
      <c r="M72" s="514"/>
      <c r="N72" s="479"/>
      <c r="O72" s="412"/>
      <c r="P72" s="514"/>
      <c r="Q72" s="490"/>
      <c r="R72" s="514"/>
      <c r="S72" s="490"/>
      <c r="T72" s="514"/>
      <c r="U72" s="490"/>
      <c r="V72" s="411"/>
      <c r="W72" s="411"/>
      <c r="X72" s="412"/>
    </row>
    <row r="73" spans="1:24" ht="15">
      <c r="A73" s="410"/>
      <c r="B73" s="419"/>
      <c r="C73" s="419"/>
      <c r="D73" s="411"/>
      <c r="E73" s="411"/>
      <c r="F73" s="411"/>
      <c r="G73" s="411"/>
      <c r="H73" s="411"/>
      <c r="I73" s="411"/>
      <c r="J73" s="411"/>
      <c r="K73" s="514"/>
      <c r="L73" s="490"/>
      <c r="M73" s="514"/>
      <c r="N73" s="479"/>
      <c r="O73" s="412"/>
      <c r="P73" s="514"/>
      <c r="Q73" s="490"/>
      <c r="R73" s="514"/>
      <c r="S73" s="490"/>
      <c r="T73" s="514"/>
      <c r="U73" s="490"/>
      <c r="V73" s="411"/>
      <c r="W73" s="411"/>
      <c r="X73" s="412"/>
    </row>
    <row r="74" spans="1:24" ht="15">
      <c r="A74" s="410"/>
      <c r="B74" s="505" t="s">
        <v>443</v>
      </c>
      <c r="C74" s="475"/>
      <c r="D74" s="420"/>
      <c r="E74" s="489"/>
      <c r="F74" s="408"/>
      <c r="G74" s="408"/>
      <c r="H74" s="408"/>
      <c r="I74" s="408"/>
      <c r="J74" s="409"/>
      <c r="K74" s="514"/>
      <c r="L74" s="490"/>
      <c r="M74" s="514"/>
      <c r="N74" s="479"/>
      <c r="O74" s="412"/>
      <c r="P74" s="514"/>
      <c r="Q74" s="490"/>
      <c r="R74" s="514"/>
      <c r="S74" s="490"/>
      <c r="T74" s="514"/>
      <c r="U74" s="490"/>
      <c r="V74" s="411"/>
      <c r="W74" s="411"/>
      <c r="X74" s="412"/>
    </row>
    <row r="75" spans="1:24" ht="15">
      <c r="A75" s="460" t="s">
        <v>444</v>
      </c>
      <c r="B75" s="439" t="s">
        <v>445</v>
      </c>
      <c r="C75" s="475"/>
      <c r="D75" s="452" t="s">
        <v>446</v>
      </c>
      <c r="E75" s="479"/>
      <c r="F75" s="411"/>
      <c r="G75" s="411"/>
      <c r="H75" s="411"/>
      <c r="I75" s="411"/>
      <c r="J75" s="412"/>
      <c r="K75" s="514"/>
      <c r="L75" s="490"/>
      <c r="M75" s="514"/>
      <c r="N75" s="479"/>
      <c r="O75" s="412"/>
      <c r="P75" s="514"/>
      <c r="Q75" s="490"/>
      <c r="R75" s="514"/>
      <c r="S75" s="490"/>
      <c r="T75" s="514"/>
      <c r="U75" s="490"/>
      <c r="V75" s="411"/>
      <c r="W75" s="411"/>
      <c r="X75" s="412"/>
    </row>
    <row r="76" spans="1:24" ht="15">
      <c r="A76" s="459" t="s">
        <v>447</v>
      </c>
      <c r="B76" s="439" t="s">
        <v>448</v>
      </c>
      <c r="C76" s="445"/>
      <c r="D76" s="422" t="s">
        <v>344</v>
      </c>
      <c r="E76" s="479"/>
      <c r="F76" s="473">
        <v>100001</v>
      </c>
      <c r="G76" s="411"/>
      <c r="H76" s="411"/>
      <c r="I76" s="411"/>
      <c r="J76" s="412"/>
      <c r="K76" s="514"/>
      <c r="L76" s="490"/>
      <c r="M76" s="514"/>
      <c r="N76" s="479"/>
      <c r="O76" s="412"/>
      <c r="P76" s="514"/>
      <c r="Q76" s="490"/>
      <c r="R76" s="514"/>
      <c r="S76" s="490"/>
      <c r="T76" s="514"/>
      <c r="U76" s="490"/>
      <c r="V76" s="411"/>
      <c r="W76" s="411"/>
      <c r="X76" s="412"/>
    </row>
    <row r="77" spans="1:24" ht="15">
      <c r="A77" s="459" t="s">
        <v>449</v>
      </c>
      <c r="B77" s="439" t="s">
        <v>450</v>
      </c>
      <c r="C77" s="445"/>
      <c r="D77" s="422" t="s">
        <v>354</v>
      </c>
      <c r="E77" s="416"/>
      <c r="F77" s="503"/>
      <c r="G77" s="417"/>
      <c r="H77" s="417"/>
      <c r="I77" s="417"/>
      <c r="J77" s="412"/>
      <c r="K77" s="514"/>
      <c r="L77" s="490"/>
      <c r="M77" s="514"/>
      <c r="N77" s="479"/>
      <c r="O77" s="412"/>
      <c r="P77" s="514"/>
      <c r="Q77" s="490"/>
      <c r="R77" s="514"/>
      <c r="S77" s="490"/>
      <c r="T77" s="514"/>
      <c r="U77" s="490"/>
      <c r="V77" s="411"/>
      <c r="W77" s="411"/>
      <c r="X77" s="412"/>
    </row>
    <row r="78" spans="1:24" ht="15">
      <c r="A78" s="410"/>
      <c r="B78" s="476"/>
      <c r="C78" s="419"/>
      <c r="D78" s="438"/>
      <c r="E78" s="411"/>
      <c r="F78" s="411"/>
      <c r="G78" s="411"/>
      <c r="H78" s="411"/>
      <c r="I78" s="411"/>
      <c r="J78" s="490"/>
      <c r="K78" s="514"/>
      <c r="L78" s="490"/>
      <c r="M78" s="514"/>
      <c r="N78" s="479"/>
      <c r="O78" s="412"/>
      <c r="P78" s="514"/>
      <c r="Q78" s="490"/>
      <c r="R78" s="514"/>
      <c r="S78" s="490"/>
      <c r="T78" s="514"/>
      <c r="U78" s="490"/>
      <c r="V78" s="411"/>
      <c r="W78" s="411"/>
      <c r="X78" s="412"/>
    </row>
    <row r="79" spans="1:24" ht="15">
      <c r="A79" s="410"/>
      <c r="B79" s="516" t="s">
        <v>451</v>
      </c>
      <c r="C79" s="517"/>
      <c r="D79" s="518"/>
      <c r="E79" s="519"/>
      <c r="F79" s="520"/>
      <c r="G79" s="520"/>
      <c r="H79" s="520"/>
      <c r="I79" s="513"/>
      <c r="J79" s="490"/>
      <c r="K79" s="514"/>
      <c r="L79" s="490"/>
      <c r="M79" s="514"/>
      <c r="N79" s="479"/>
      <c r="O79" s="412"/>
      <c r="P79" s="514"/>
      <c r="Q79" s="490"/>
      <c r="R79" s="514"/>
      <c r="S79" s="490"/>
      <c r="T79" s="514"/>
      <c r="U79" s="490"/>
      <c r="V79" s="411"/>
      <c r="W79" s="411"/>
      <c r="X79" s="412"/>
    </row>
    <row r="80" spans="1:24" ht="15">
      <c r="A80" s="410"/>
      <c r="B80" s="521" t="s">
        <v>452</v>
      </c>
      <c r="C80" s="522"/>
      <c r="D80" s="523" t="s">
        <v>348</v>
      </c>
      <c r="E80" s="524"/>
      <c r="F80" s="525">
        <v>1000000</v>
      </c>
      <c r="G80" s="526"/>
      <c r="H80" s="526"/>
      <c r="I80" s="527"/>
      <c r="J80" s="490"/>
      <c r="K80" s="514"/>
      <c r="L80" s="490"/>
      <c r="M80" s="514"/>
      <c r="N80" s="479"/>
      <c r="O80" s="412"/>
      <c r="P80" s="514"/>
      <c r="Q80" s="490"/>
      <c r="R80" s="514"/>
      <c r="S80" s="490"/>
      <c r="T80" s="514"/>
      <c r="U80" s="490"/>
      <c r="V80" s="411"/>
      <c r="W80" s="411"/>
      <c r="X80" s="412"/>
    </row>
    <row r="81" spans="1:24" ht="15">
      <c r="A81" s="410"/>
      <c r="B81" s="521" t="s">
        <v>453</v>
      </c>
      <c r="C81" s="522"/>
      <c r="D81" s="523" t="s">
        <v>346</v>
      </c>
      <c r="E81" s="524"/>
      <c r="F81" s="525"/>
      <c r="G81" s="526"/>
      <c r="H81" s="526"/>
      <c r="I81" s="527"/>
      <c r="J81" s="490"/>
      <c r="K81" s="514"/>
      <c r="L81" s="490"/>
      <c r="M81" s="514"/>
      <c r="N81" s="479"/>
      <c r="O81" s="412"/>
      <c r="P81" s="514"/>
      <c r="Q81" s="490"/>
      <c r="R81" s="514"/>
      <c r="S81" s="490"/>
      <c r="T81" s="514"/>
      <c r="U81" s="490"/>
      <c r="V81" s="411"/>
      <c r="W81" s="411"/>
      <c r="X81" s="412"/>
    </row>
    <row r="82" spans="1:24" ht="15">
      <c r="A82" s="410"/>
      <c r="B82" s="521" t="s">
        <v>454</v>
      </c>
      <c r="C82" s="522"/>
      <c r="D82" s="523" t="s">
        <v>344</v>
      </c>
      <c r="E82" s="528"/>
      <c r="F82" s="529">
        <v>2000000</v>
      </c>
      <c r="G82" s="530"/>
      <c r="H82" s="530"/>
      <c r="I82" s="527"/>
      <c r="J82" s="490"/>
      <c r="K82" s="514"/>
      <c r="L82" s="490"/>
      <c r="M82" s="514"/>
      <c r="N82" s="479"/>
      <c r="O82" s="412"/>
      <c r="P82" s="514"/>
      <c r="Q82" s="490"/>
      <c r="R82" s="514"/>
      <c r="S82" s="490"/>
      <c r="T82" s="514"/>
      <c r="U82" s="490"/>
      <c r="V82" s="411"/>
      <c r="W82" s="411"/>
      <c r="X82" s="412"/>
    </row>
    <row r="83" spans="1:24" ht="15">
      <c r="A83" s="410"/>
      <c r="B83" s="476"/>
      <c r="C83" s="419"/>
      <c r="D83" s="438"/>
      <c r="E83" s="411"/>
      <c r="F83" s="411"/>
      <c r="G83" s="411"/>
      <c r="H83" s="411"/>
      <c r="I83" s="514"/>
      <c r="J83" s="490"/>
      <c r="K83" s="514"/>
      <c r="L83" s="490"/>
      <c r="M83" s="514"/>
      <c r="N83" s="479"/>
      <c r="O83" s="412"/>
      <c r="P83" s="514"/>
      <c r="Q83" s="490"/>
      <c r="R83" s="514"/>
      <c r="S83" s="490"/>
      <c r="T83" s="514"/>
      <c r="U83" s="490"/>
      <c r="V83" s="411"/>
      <c r="W83" s="411"/>
      <c r="X83" s="412"/>
    </row>
    <row r="84" spans="1:24" ht="15">
      <c r="A84" s="410"/>
      <c r="B84" s="505" t="s">
        <v>455</v>
      </c>
      <c r="C84" s="475"/>
      <c r="D84" s="477"/>
      <c r="E84" s="489"/>
      <c r="F84" s="408"/>
      <c r="G84" s="408"/>
      <c r="H84" s="409"/>
      <c r="I84" s="514"/>
      <c r="J84" s="490"/>
      <c r="K84" s="514"/>
      <c r="L84" s="490"/>
      <c r="M84" s="514"/>
      <c r="N84" s="479"/>
      <c r="O84" s="412"/>
      <c r="P84" s="514"/>
      <c r="Q84" s="490"/>
      <c r="R84" s="514"/>
      <c r="S84" s="490"/>
      <c r="T84" s="514"/>
      <c r="U84" s="490"/>
      <c r="V84" s="411"/>
      <c r="W84" s="411"/>
      <c r="X84" s="412"/>
    </row>
    <row r="85" spans="1:24" ht="15">
      <c r="A85" s="410"/>
      <c r="B85" s="439" t="s">
        <v>456</v>
      </c>
      <c r="C85" s="445"/>
      <c r="D85" s="433" t="s">
        <v>354</v>
      </c>
      <c r="E85" s="479"/>
      <c r="F85" s="411"/>
      <c r="G85" s="411"/>
      <c r="H85" s="412"/>
      <c r="I85" s="514"/>
      <c r="J85" s="490"/>
      <c r="K85" s="514"/>
      <c r="L85" s="490"/>
      <c r="M85" s="514"/>
      <c r="N85" s="479"/>
      <c r="O85" s="412"/>
      <c r="P85" s="514"/>
      <c r="Q85" s="490"/>
      <c r="R85" s="514"/>
      <c r="S85" s="490"/>
      <c r="T85" s="514"/>
      <c r="U85" s="490"/>
      <c r="V85" s="411"/>
      <c r="W85" s="411"/>
      <c r="X85" s="412"/>
    </row>
    <row r="86" spans="1:24" ht="15">
      <c r="A86" s="410"/>
      <c r="B86" s="439" t="s">
        <v>457</v>
      </c>
      <c r="C86" s="445"/>
      <c r="D86" s="433" t="s">
        <v>458</v>
      </c>
      <c r="E86" s="479"/>
      <c r="F86" s="411"/>
      <c r="G86" s="411"/>
      <c r="H86" s="412"/>
      <c r="I86" s="514"/>
      <c r="J86" s="490"/>
      <c r="K86" s="514"/>
      <c r="L86" s="490"/>
      <c r="M86" s="514"/>
      <c r="N86" s="479"/>
      <c r="O86" s="412"/>
      <c r="P86" s="514"/>
      <c r="Q86" s="490"/>
      <c r="R86" s="514"/>
      <c r="S86" s="490"/>
      <c r="T86" s="514"/>
      <c r="U86" s="490"/>
      <c r="V86" s="411"/>
      <c r="W86" s="411"/>
      <c r="X86" s="412"/>
    </row>
    <row r="87" spans="1:24" ht="15">
      <c r="A87" s="410"/>
      <c r="B87" s="439" t="s">
        <v>459</v>
      </c>
      <c r="C87" s="445"/>
      <c r="D87" s="433" t="s">
        <v>458</v>
      </c>
      <c r="E87" s="416"/>
      <c r="F87" s="417"/>
      <c r="G87" s="417"/>
      <c r="H87" s="412"/>
      <c r="I87" s="514"/>
      <c r="J87" s="490"/>
      <c r="K87" s="514"/>
      <c r="L87" s="490"/>
      <c r="M87" s="514"/>
      <c r="N87" s="479"/>
      <c r="O87" s="412"/>
      <c r="P87" s="514"/>
      <c r="Q87" s="490"/>
      <c r="R87" s="514"/>
      <c r="S87" s="490"/>
      <c r="T87" s="514"/>
      <c r="U87" s="490"/>
      <c r="V87" s="411"/>
      <c r="W87" s="411"/>
      <c r="X87" s="412"/>
    </row>
    <row r="88" spans="1:24" ht="15">
      <c r="A88" s="410"/>
      <c r="B88" s="476"/>
      <c r="C88" s="419"/>
      <c r="D88" s="438"/>
      <c r="E88" s="411"/>
      <c r="F88" s="411"/>
      <c r="G88" s="411"/>
      <c r="H88" s="490"/>
      <c r="I88" s="514"/>
      <c r="J88" s="490"/>
      <c r="K88" s="514"/>
      <c r="L88" s="490"/>
      <c r="M88" s="514"/>
      <c r="N88" s="479"/>
      <c r="O88" s="412"/>
      <c r="P88" s="514"/>
      <c r="Q88" s="490"/>
      <c r="R88" s="514"/>
      <c r="S88" s="490"/>
      <c r="T88" s="514"/>
      <c r="U88" s="490"/>
      <c r="V88" s="411"/>
      <c r="W88" s="411"/>
      <c r="X88" s="412"/>
    </row>
    <row r="89" spans="1:24" ht="15">
      <c r="A89" s="410"/>
      <c r="B89" s="508" t="s">
        <v>460</v>
      </c>
      <c r="C89" s="509"/>
      <c r="D89" s="510" t="s">
        <v>461</v>
      </c>
      <c r="E89" s="511"/>
      <c r="F89" s="512"/>
      <c r="G89" s="513"/>
      <c r="H89" s="490"/>
      <c r="I89" s="514"/>
      <c r="J89" s="490"/>
      <c r="K89" s="514"/>
      <c r="L89" s="490"/>
      <c r="M89" s="514"/>
      <c r="N89" s="479"/>
      <c r="O89" s="412"/>
      <c r="P89" s="514"/>
      <c r="Q89" s="490"/>
      <c r="R89" s="514"/>
      <c r="S89" s="490"/>
      <c r="T89" s="514"/>
      <c r="U89" s="490"/>
      <c r="V89" s="411"/>
      <c r="W89" s="411"/>
      <c r="X89" s="412"/>
    </row>
    <row r="90" spans="1:24" ht="15">
      <c r="A90" s="410"/>
      <c r="B90" s="476"/>
      <c r="C90" s="419"/>
      <c r="D90" s="478"/>
      <c r="E90" s="411"/>
      <c r="F90" s="411"/>
      <c r="G90" s="514"/>
      <c r="H90" s="490"/>
      <c r="I90" s="514"/>
      <c r="J90" s="490"/>
      <c r="K90" s="514"/>
      <c r="L90" s="490"/>
      <c r="M90" s="514"/>
      <c r="N90" s="479"/>
      <c r="O90" s="412"/>
      <c r="P90" s="514"/>
      <c r="Q90" s="490"/>
      <c r="R90" s="514"/>
      <c r="S90" s="490"/>
      <c r="T90" s="514"/>
      <c r="U90" s="490"/>
      <c r="V90" s="411"/>
      <c r="W90" s="411"/>
      <c r="X90" s="412"/>
    </row>
    <row r="91" spans="1:24" ht="14.25">
      <c r="A91" s="479"/>
      <c r="B91" s="411"/>
      <c r="C91" s="411"/>
      <c r="D91" s="411"/>
      <c r="E91" s="411"/>
      <c r="F91" s="411"/>
      <c r="G91" s="515"/>
      <c r="H91" s="493"/>
      <c r="I91" s="515"/>
      <c r="J91" s="493"/>
      <c r="K91" s="515"/>
      <c r="L91" s="493"/>
      <c r="M91" s="515"/>
      <c r="N91" s="416"/>
      <c r="O91" s="418"/>
      <c r="P91" s="515"/>
      <c r="Q91" s="493"/>
      <c r="R91" s="515"/>
      <c r="S91" s="493"/>
      <c r="T91" s="515"/>
      <c r="U91" s="493"/>
      <c r="V91" s="411"/>
      <c r="W91" s="411"/>
      <c r="X91" s="412"/>
    </row>
    <row r="92" spans="1:24" ht="20.25">
      <c r="A92" s="410"/>
      <c r="B92" s="411"/>
      <c r="C92" s="411"/>
      <c r="D92" s="411"/>
      <c r="E92" s="411"/>
      <c r="F92" s="411"/>
      <c r="G92" s="480" t="s">
        <v>461</v>
      </c>
      <c r="H92" s="481" t="s">
        <v>462</v>
      </c>
      <c r="I92" s="481" t="s">
        <v>462</v>
      </c>
      <c r="J92" s="481" t="s">
        <v>462</v>
      </c>
      <c r="K92" s="481" t="s">
        <v>462</v>
      </c>
      <c r="L92" s="482" t="s">
        <v>462</v>
      </c>
      <c r="M92" s="482" t="s">
        <v>462</v>
      </c>
      <c r="N92" s="482" t="s">
        <v>462</v>
      </c>
      <c r="O92" s="482" t="s">
        <v>462</v>
      </c>
      <c r="P92" s="481" t="s">
        <v>462</v>
      </c>
      <c r="Q92" s="481" t="s">
        <v>462</v>
      </c>
      <c r="R92" s="482" t="s">
        <v>462</v>
      </c>
      <c r="S92" s="481" t="s">
        <v>462</v>
      </c>
      <c r="T92" s="482" t="s">
        <v>462</v>
      </c>
      <c r="U92" s="482" t="s">
        <v>462</v>
      </c>
      <c r="V92" s="483"/>
      <c r="W92" s="483"/>
      <c r="X92" s="412"/>
    </row>
    <row r="93" spans="1:24" ht="15">
      <c r="A93" s="410"/>
      <c r="B93" s="484" t="s">
        <v>337</v>
      </c>
      <c r="C93" s="485" t="s">
        <v>395</v>
      </c>
      <c r="D93" s="411"/>
      <c r="E93" s="411"/>
      <c r="F93" s="411" t="s">
        <v>463</v>
      </c>
      <c r="G93" s="486">
        <v>1</v>
      </c>
      <c r="H93" s="486">
        <v>2</v>
      </c>
      <c r="I93" s="486">
        <v>3</v>
      </c>
      <c r="J93" s="486">
        <v>4</v>
      </c>
      <c r="K93" s="486">
        <v>5</v>
      </c>
      <c r="L93" s="486">
        <v>6</v>
      </c>
      <c r="M93" s="486">
        <v>7</v>
      </c>
      <c r="N93" s="486">
        <v>8</v>
      </c>
      <c r="O93" s="486">
        <v>9</v>
      </c>
      <c r="P93" s="486">
        <v>10</v>
      </c>
      <c r="Q93" s="486">
        <v>11</v>
      </c>
      <c r="R93" s="486">
        <v>12</v>
      </c>
      <c r="S93" s="486">
        <v>13</v>
      </c>
      <c r="T93" s="486">
        <v>14</v>
      </c>
      <c r="U93" s="486">
        <v>15</v>
      </c>
      <c r="V93" s="411"/>
      <c r="W93" s="411"/>
      <c r="X93" s="412"/>
    </row>
    <row r="94" spans="1:24" ht="15">
      <c r="A94" s="410"/>
      <c r="B94" s="484" t="s">
        <v>464</v>
      </c>
      <c r="C94" s="487">
        <v>39127</v>
      </c>
      <c r="D94" s="411"/>
      <c r="E94" s="411"/>
      <c r="F94" s="411" t="s">
        <v>465</v>
      </c>
      <c r="G94" s="483" t="s">
        <v>352</v>
      </c>
      <c r="H94" s="483" t="s">
        <v>352</v>
      </c>
      <c r="I94" s="483" t="s">
        <v>352</v>
      </c>
      <c r="J94" s="483" t="s">
        <v>352</v>
      </c>
      <c r="K94" s="483" t="s">
        <v>466</v>
      </c>
      <c r="L94" s="483" t="s">
        <v>466</v>
      </c>
      <c r="M94" s="483" t="s">
        <v>466</v>
      </c>
      <c r="N94" s="483" t="s">
        <v>467</v>
      </c>
      <c r="O94" s="483" t="s">
        <v>467</v>
      </c>
      <c r="P94" s="483" t="s">
        <v>352</v>
      </c>
      <c r="Q94" s="483" t="s">
        <v>466</v>
      </c>
      <c r="R94" s="483" t="s">
        <v>466</v>
      </c>
      <c r="S94" s="483" t="s">
        <v>352</v>
      </c>
      <c r="T94" s="483" t="s">
        <v>352</v>
      </c>
      <c r="U94" s="483" t="s">
        <v>352</v>
      </c>
      <c r="V94" s="411"/>
      <c r="W94" s="411"/>
      <c r="X94" s="412"/>
    </row>
    <row r="95" spans="1:24" ht="15">
      <c r="A95" s="410"/>
      <c r="B95" s="411"/>
      <c r="C95" s="411"/>
      <c r="D95" s="411"/>
      <c r="E95" s="411"/>
      <c r="F95" s="411" t="s">
        <v>468</v>
      </c>
      <c r="G95" s="411"/>
      <c r="H95" s="411"/>
      <c r="I95" s="411"/>
      <c r="J95" s="411"/>
      <c r="K95" s="411"/>
      <c r="L95" s="411"/>
      <c r="M95" s="411"/>
      <c r="N95" s="411"/>
      <c r="O95" s="411"/>
      <c r="P95" s="411"/>
      <c r="Q95" s="411"/>
      <c r="R95" s="411"/>
      <c r="S95" s="411"/>
      <c r="T95" s="411"/>
      <c r="U95" s="411"/>
      <c r="V95" s="411"/>
      <c r="W95" s="411"/>
      <c r="X95" s="412"/>
    </row>
    <row r="96" spans="1:24" ht="15">
      <c r="A96" s="488"/>
      <c r="B96" s="417"/>
      <c r="C96" s="417"/>
      <c r="D96" s="417"/>
      <c r="E96" s="417"/>
      <c r="F96" s="417"/>
      <c r="G96" s="417"/>
      <c r="H96" s="417"/>
      <c r="I96" s="417"/>
      <c r="J96" s="417"/>
      <c r="K96" s="417"/>
      <c r="L96" s="417"/>
      <c r="M96" s="417"/>
      <c r="N96" s="417"/>
      <c r="O96" s="417"/>
      <c r="P96" s="417"/>
      <c r="Q96" s="417"/>
      <c r="R96" s="417"/>
      <c r="S96" s="417"/>
      <c r="T96" s="417"/>
      <c r="U96" s="417"/>
      <c r="V96" s="417"/>
      <c r="W96" s="417"/>
      <c r="X96" s="418"/>
    </row>
  </sheetData>
  <sheetProtection password="C927" sheet="1" objects="1" scenarios="1"/>
  <mergeCells count="8">
    <mergeCell ref="G38:J38"/>
    <mergeCell ref="G39:J39"/>
    <mergeCell ref="G40:J40"/>
    <mergeCell ref="G41:J41"/>
    <mergeCell ref="E38:F38"/>
    <mergeCell ref="E39:F39"/>
    <mergeCell ref="E40:F40"/>
    <mergeCell ref="E41:F41"/>
  </mergeCells>
  <printOptions/>
  <pageMargins left="0.75" right="0.75" top="1" bottom="1" header="0.5" footer="0.5"/>
  <pageSetup fitToHeight="1" fitToWidth="1" horizontalDpi="300" verticalDpi="300" orientation="portrait" paperSize="9" scale="46" r:id="rId2"/>
  <headerFooter alignWithMargins="0">
    <oddHeader>&amp;C&amp;A</oddHeader>
    <oddFooter>&amp;L&amp;F&amp;CPage &amp;P&amp;R&amp;D</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S54"/>
  <sheetViews>
    <sheetView showGridLines="0" showRowColHeaders="0" zoomScale="92" zoomScaleNormal="92" workbookViewId="0" topLeftCell="A1">
      <pane ySplit="5" topLeftCell="BM6" activePane="bottomLeft" state="frozen"/>
      <selection pane="topLeft" activeCell="A1" sqref="A1"/>
      <selection pane="bottomLeft" activeCell="A6" sqref="A6"/>
    </sheetView>
  </sheetViews>
  <sheetFormatPr defaultColWidth="9.00390625" defaultRowHeight="14.25"/>
  <cols>
    <col min="1" max="1" width="2.625" style="613" customWidth="1"/>
    <col min="2" max="2" width="52.625" style="587" customWidth="1"/>
    <col min="3" max="3" width="3.625" style="587" customWidth="1"/>
    <col min="4" max="9" width="3.125" style="587" customWidth="1"/>
    <col min="10" max="10" width="4.625" style="587" customWidth="1"/>
    <col min="11" max="16" width="3.125" style="587" customWidth="1"/>
    <col min="17" max="17" width="5.375" style="587" customWidth="1"/>
    <col min="18" max="18" width="8.25390625" style="586" customWidth="1"/>
    <col min="19" max="19" width="5.625" style="586" customWidth="1"/>
    <col min="20" max="20" width="5.625" style="587" customWidth="1"/>
    <col min="21" max="16384" width="9.00390625" style="587" customWidth="1"/>
  </cols>
  <sheetData>
    <row r="1" spans="1:19" s="559" customFormat="1" ht="15">
      <c r="A1" s="708"/>
      <c r="B1" s="709" t="s">
        <v>469</v>
      </c>
      <c r="C1" s="710"/>
      <c r="D1" s="710"/>
      <c r="E1" s="710"/>
      <c r="F1" s="710"/>
      <c r="G1" s="710"/>
      <c r="H1" s="710"/>
      <c r="I1" s="710"/>
      <c r="J1" s="710"/>
      <c r="K1" s="710"/>
      <c r="L1" s="710"/>
      <c r="M1" s="710"/>
      <c r="N1" s="710"/>
      <c r="O1" s="710"/>
      <c r="P1" s="711"/>
      <c r="Q1" s="712"/>
      <c r="R1" s="558"/>
      <c r="S1" s="558"/>
    </row>
    <row r="2" spans="1:19" s="564" customFormat="1" ht="11.25">
      <c r="A2" s="713"/>
      <c r="B2" s="560"/>
      <c r="C2" s="560"/>
      <c r="D2" s="560"/>
      <c r="E2" s="561"/>
      <c r="F2" s="561"/>
      <c r="G2" s="561"/>
      <c r="H2" s="561"/>
      <c r="I2" s="561"/>
      <c r="J2" s="561"/>
      <c r="K2" s="561"/>
      <c r="L2" s="561"/>
      <c r="M2" s="561"/>
      <c r="N2" s="561"/>
      <c r="O2" s="561"/>
      <c r="P2" s="562"/>
      <c r="Q2" s="714"/>
      <c r="R2" s="563"/>
      <c r="S2" s="563"/>
    </row>
    <row r="3" spans="1:19" s="564" customFormat="1" ht="12" customHeight="1">
      <c r="A3" s="715"/>
      <c r="B3" s="565" t="s">
        <v>470</v>
      </c>
      <c r="C3" s="566">
        <v>1</v>
      </c>
      <c r="D3" s="566">
        <v>2</v>
      </c>
      <c r="E3" s="566">
        <v>3</v>
      </c>
      <c r="F3" s="566">
        <v>4</v>
      </c>
      <c r="G3" s="566">
        <v>5</v>
      </c>
      <c r="H3" s="566">
        <v>6</v>
      </c>
      <c r="I3" s="566">
        <v>7</v>
      </c>
      <c r="J3" s="567" t="s">
        <v>471</v>
      </c>
      <c r="K3" s="566">
        <v>10</v>
      </c>
      <c r="L3" s="566">
        <v>11</v>
      </c>
      <c r="M3" s="566">
        <v>12</v>
      </c>
      <c r="N3" s="566">
        <v>13</v>
      </c>
      <c r="O3" s="566">
        <v>14</v>
      </c>
      <c r="P3" s="566">
        <v>15</v>
      </c>
      <c r="Q3" s="716"/>
      <c r="R3" s="563"/>
      <c r="S3" s="563"/>
    </row>
    <row r="4" spans="1:19" s="564" customFormat="1" ht="12" customHeight="1">
      <c r="A4" s="715"/>
      <c r="B4" s="568" t="s">
        <v>465</v>
      </c>
      <c r="C4" s="569" t="s">
        <v>352</v>
      </c>
      <c r="D4" s="569" t="s">
        <v>352</v>
      </c>
      <c r="E4" s="569" t="s">
        <v>352</v>
      </c>
      <c r="F4" s="570" t="s">
        <v>352</v>
      </c>
      <c r="G4" s="569" t="s">
        <v>466</v>
      </c>
      <c r="H4" s="569" t="s">
        <v>466</v>
      </c>
      <c r="I4" s="569" t="s">
        <v>466</v>
      </c>
      <c r="J4" s="571" t="s">
        <v>415</v>
      </c>
      <c r="K4" s="569" t="s">
        <v>352</v>
      </c>
      <c r="L4" s="569" t="s">
        <v>466</v>
      </c>
      <c r="M4" s="569" t="s">
        <v>466</v>
      </c>
      <c r="N4" s="569" t="s">
        <v>352</v>
      </c>
      <c r="O4" s="569" t="s">
        <v>352</v>
      </c>
      <c r="P4" s="569" t="s">
        <v>352</v>
      </c>
      <c r="Q4" s="716"/>
      <c r="R4" s="563"/>
      <c r="S4" s="563"/>
    </row>
    <row r="5" spans="1:18" s="577" customFormat="1" ht="18">
      <c r="A5" s="717"/>
      <c r="B5" s="572" t="s">
        <v>472</v>
      </c>
      <c r="C5" s="573" t="s">
        <v>461</v>
      </c>
      <c r="D5" s="574" t="str">
        <f>C7</f>
        <v>*</v>
      </c>
      <c r="E5" s="574" t="str">
        <f>C9</f>
        <v>*</v>
      </c>
      <c r="F5" s="574" t="str">
        <f>C11</f>
        <v>*</v>
      </c>
      <c r="G5" s="574" t="str">
        <f>C13</f>
        <v>*</v>
      </c>
      <c r="H5" s="574" t="str">
        <f>C15</f>
        <v>*</v>
      </c>
      <c r="I5" s="574" t="str">
        <f>$C$17</f>
        <v>*</v>
      </c>
      <c r="J5" s="575" t="str">
        <f>C19</f>
        <v>**</v>
      </c>
      <c r="K5" s="574" t="str">
        <f>C21</f>
        <v>*</v>
      </c>
      <c r="L5" s="574" t="str">
        <f>$C$23</f>
        <v>*</v>
      </c>
      <c r="M5" s="574" t="str">
        <f>C25</f>
        <v>*</v>
      </c>
      <c r="N5" s="574" t="str">
        <f>C28</f>
        <v>*</v>
      </c>
      <c r="O5" s="574" t="str">
        <f>C30</f>
        <v>*</v>
      </c>
      <c r="P5" s="574" t="str">
        <f>C31</f>
        <v>*</v>
      </c>
      <c r="Q5" s="718"/>
      <c r="R5" s="576"/>
    </row>
    <row r="6" spans="1:19" s="581" customFormat="1" ht="15">
      <c r="A6" s="719"/>
      <c r="B6" s="614" t="s">
        <v>455</v>
      </c>
      <c r="C6" s="578"/>
      <c r="D6" s="617"/>
      <c r="E6" s="618"/>
      <c r="F6" s="617"/>
      <c r="G6" s="618"/>
      <c r="H6" s="617"/>
      <c r="I6" s="618"/>
      <c r="J6" s="617"/>
      <c r="K6" s="672"/>
      <c r="L6" s="617"/>
      <c r="M6" s="694"/>
      <c r="N6" s="644"/>
      <c r="O6" s="618"/>
      <c r="P6" s="617"/>
      <c r="Q6" s="720"/>
      <c r="R6" s="580"/>
      <c r="S6" s="580"/>
    </row>
    <row r="7" spans="1:17" ht="41.25" customHeight="1">
      <c r="A7" s="721"/>
      <c r="B7" s="417"/>
      <c r="C7" s="582" t="str">
        <f>VLOOKUP(Lookup!$C$1,Lookup!$C$2:$D$5,2)</f>
        <v>*</v>
      </c>
      <c r="D7" s="620"/>
      <c r="E7" s="619"/>
      <c r="F7" s="490"/>
      <c r="G7" s="658"/>
      <c r="H7" s="625"/>
      <c r="I7" s="667"/>
      <c r="J7" s="632"/>
      <c r="K7" s="663"/>
      <c r="L7" s="635"/>
      <c r="M7" s="514"/>
      <c r="N7" s="629"/>
      <c r="O7" s="669"/>
      <c r="P7" s="635"/>
      <c r="Q7" s="722"/>
    </row>
    <row r="8" spans="1:19" s="581" customFormat="1" ht="15">
      <c r="A8" s="719"/>
      <c r="B8" s="615" t="s">
        <v>451</v>
      </c>
      <c r="C8" s="578"/>
      <c r="D8" s="678"/>
      <c r="E8" s="676"/>
      <c r="F8" s="623"/>
      <c r="G8" s="659"/>
      <c r="H8" s="626"/>
      <c r="I8" s="668"/>
      <c r="J8" s="633"/>
      <c r="K8" s="672"/>
      <c r="L8" s="640"/>
      <c r="M8" s="657"/>
      <c r="N8" s="641"/>
      <c r="O8" s="673"/>
      <c r="P8" s="640"/>
      <c r="Q8" s="720"/>
      <c r="R8" s="580"/>
      <c r="S8" s="580"/>
    </row>
    <row r="9" spans="1:17" ht="32.25" customHeight="1">
      <c r="A9" s="721"/>
      <c r="B9" s="417"/>
      <c r="C9" s="582" t="str">
        <f>VLOOKUP(Lookup!$C$7,Lookup!$C$8:$D$10,2)</f>
        <v>*</v>
      </c>
      <c r="D9" s="679"/>
      <c r="E9" s="677"/>
      <c r="F9" s="490"/>
      <c r="G9" s="658"/>
      <c r="H9" s="627"/>
      <c r="I9" s="514"/>
      <c r="J9" s="490"/>
      <c r="K9" s="688"/>
      <c r="L9" s="635"/>
      <c r="M9" s="514"/>
      <c r="N9" s="629"/>
      <c r="O9" s="669"/>
      <c r="P9" s="635"/>
      <c r="Q9" s="722"/>
    </row>
    <row r="10" spans="1:17" ht="15">
      <c r="A10" s="723"/>
      <c r="B10" s="615" t="s">
        <v>443</v>
      </c>
      <c r="C10" s="578"/>
      <c r="D10" s="621"/>
      <c r="E10" s="622"/>
      <c r="F10" s="412"/>
      <c r="G10" s="680"/>
      <c r="H10" s="627"/>
      <c r="I10" s="514"/>
      <c r="J10" s="490"/>
      <c r="K10" s="689"/>
      <c r="L10" s="635"/>
      <c r="M10" s="514"/>
      <c r="N10" s="629"/>
      <c r="O10" s="669"/>
      <c r="P10" s="635"/>
      <c r="Q10" s="722"/>
    </row>
    <row r="11" spans="1:17" ht="41.25" customHeight="1">
      <c r="A11" s="721"/>
      <c r="B11" s="417"/>
      <c r="C11" s="582" t="str">
        <f>VLOOKUP(Lookup!$C$12,Lookup!$C$13:$D$16,2)</f>
        <v>*</v>
      </c>
      <c r="D11" s="624"/>
      <c r="E11" s="590"/>
      <c r="F11" s="412"/>
      <c r="G11" s="680"/>
      <c r="H11" s="627"/>
      <c r="I11" s="514"/>
      <c r="J11" s="490"/>
      <c r="K11" s="689"/>
      <c r="L11" s="635"/>
      <c r="M11" s="514"/>
      <c r="N11" s="629"/>
      <c r="O11" s="669"/>
      <c r="P11" s="635"/>
      <c r="Q11" s="722"/>
    </row>
    <row r="12" spans="1:17" ht="15">
      <c r="A12" s="723"/>
      <c r="B12" s="615" t="s">
        <v>437</v>
      </c>
      <c r="C12" s="578"/>
      <c r="D12" s="682"/>
      <c r="E12" s="683"/>
      <c r="F12" s="520"/>
      <c r="G12" s="681"/>
      <c r="H12" s="627"/>
      <c r="I12" s="514"/>
      <c r="J12" s="490"/>
      <c r="K12" s="690"/>
      <c r="L12" s="635"/>
      <c r="M12" s="514"/>
      <c r="N12" s="629"/>
      <c r="O12" s="669"/>
      <c r="P12" s="635"/>
      <c r="Q12" s="722"/>
    </row>
    <row r="13" spans="1:17" ht="42" customHeight="1">
      <c r="A13" s="721"/>
      <c r="B13" s="417"/>
      <c r="C13" s="582" t="str">
        <f>VLOOKUP(Lookup!$C$18,Lookup!$C$19:$D$22,2)</f>
        <v>*</v>
      </c>
      <c r="D13" s="679"/>
      <c r="E13" s="684"/>
      <c r="F13" s="526"/>
      <c r="G13" s="681"/>
      <c r="H13" s="627"/>
      <c r="I13" s="514"/>
      <c r="J13" s="490"/>
      <c r="K13" s="688"/>
      <c r="L13" s="635"/>
      <c r="M13" s="514"/>
      <c r="N13" s="629"/>
      <c r="O13" s="669"/>
      <c r="P13" s="635"/>
      <c r="Q13" s="722"/>
    </row>
    <row r="14" spans="1:17" ht="15">
      <c r="A14" s="723"/>
      <c r="B14" s="615" t="s">
        <v>422</v>
      </c>
      <c r="C14" s="578"/>
      <c r="D14" s="621"/>
      <c r="E14" s="622"/>
      <c r="F14" s="408"/>
      <c r="G14" s="622"/>
      <c r="H14" s="628"/>
      <c r="I14" s="514"/>
      <c r="J14" s="490"/>
      <c r="K14" s="689"/>
      <c r="L14" s="635"/>
      <c r="M14" s="514"/>
      <c r="N14" s="629"/>
      <c r="O14" s="669"/>
      <c r="P14" s="635"/>
      <c r="Q14" s="722"/>
    </row>
    <row r="15" spans="1:17" ht="31.5" customHeight="1">
      <c r="A15" s="721"/>
      <c r="B15" s="417"/>
      <c r="C15" s="582" t="str">
        <f>VLOOKUP(Lookup!$C$28,Lookup!$C$29:$D$32,2)</f>
        <v>*</v>
      </c>
      <c r="D15" s="629"/>
      <c r="E15" s="584"/>
      <c r="F15" s="584"/>
      <c r="G15" s="584"/>
      <c r="H15" s="585"/>
      <c r="I15" s="669"/>
      <c r="J15" s="635"/>
      <c r="K15" s="663"/>
      <c r="L15" s="635"/>
      <c r="M15" s="514"/>
      <c r="N15" s="629"/>
      <c r="O15" s="669"/>
      <c r="P15" s="635"/>
      <c r="Q15" s="722"/>
    </row>
    <row r="16" spans="1:17" ht="15">
      <c r="A16" s="724"/>
      <c r="B16" s="592" t="str">
        <f>IF(OR(Lookup!$C$44="KCGG14",Lookup!$C$44="KCGG34"),"Application","Mark")</f>
        <v>Mark</v>
      </c>
      <c r="C16" s="578"/>
      <c r="D16" s="664"/>
      <c r="E16" s="665"/>
      <c r="F16" s="665"/>
      <c r="G16" s="665"/>
      <c r="H16" s="665"/>
      <c r="I16" s="666"/>
      <c r="J16" s="627"/>
      <c r="K16" s="663"/>
      <c r="L16" s="635"/>
      <c r="M16" s="514"/>
      <c r="N16" s="629"/>
      <c r="O16" s="669"/>
      <c r="P16" s="635"/>
      <c r="Q16" s="722"/>
    </row>
    <row r="17" spans="1:17" ht="40.5" customHeight="1">
      <c r="A17" s="724"/>
      <c r="B17" s="593"/>
      <c r="C17" s="582" t="str">
        <f>VLOOKUP(Lookup!$C$38,Lookup!$C$39:$D$42,2)</f>
        <v>*</v>
      </c>
      <c r="D17" s="685"/>
      <c r="E17" s="686"/>
      <c r="F17" s="686"/>
      <c r="G17" s="686"/>
      <c r="H17" s="686"/>
      <c r="I17" s="687"/>
      <c r="J17" s="636"/>
      <c r="K17" s="686"/>
      <c r="L17" s="636"/>
      <c r="M17" s="514"/>
      <c r="N17" s="629"/>
      <c r="O17" s="669"/>
      <c r="P17" s="635"/>
      <c r="Q17" s="722"/>
    </row>
    <row r="18" spans="1:17" ht="15">
      <c r="A18" s="723"/>
      <c r="B18" s="615" t="s">
        <v>403</v>
      </c>
      <c r="C18" s="578"/>
      <c r="D18" s="630"/>
      <c r="E18" s="631"/>
      <c r="F18" s="631"/>
      <c r="G18" s="631"/>
      <c r="H18" s="631"/>
      <c r="I18" s="631"/>
      <c r="J18" s="634"/>
      <c r="K18" s="663"/>
      <c r="L18" s="635"/>
      <c r="M18" s="514"/>
      <c r="N18" s="629"/>
      <c r="O18" s="669"/>
      <c r="P18" s="635"/>
      <c r="Q18" s="722"/>
    </row>
    <row r="19" spans="1:17" ht="41.25" customHeight="1">
      <c r="A19" s="721"/>
      <c r="B19" s="417"/>
      <c r="C19" s="582" t="str">
        <f>VLOOKUP(Lookup!$C$49,Lookup!$C$50:$D$53,2)</f>
        <v>**</v>
      </c>
      <c r="D19" s="629"/>
      <c r="E19" s="584"/>
      <c r="F19" s="584"/>
      <c r="G19" s="584"/>
      <c r="H19" s="584"/>
      <c r="I19" s="569"/>
      <c r="J19" s="653"/>
      <c r="K19" s="663"/>
      <c r="L19" s="635"/>
      <c r="M19" s="514"/>
      <c r="N19" s="629"/>
      <c r="O19" s="669"/>
      <c r="P19" s="635"/>
      <c r="Q19" s="722"/>
    </row>
    <row r="20" spans="1:17" ht="15">
      <c r="A20" s="725"/>
      <c r="B20" s="595" t="s">
        <v>473</v>
      </c>
      <c r="C20" s="578"/>
      <c r="D20" s="664"/>
      <c r="E20" s="665"/>
      <c r="F20" s="665"/>
      <c r="G20" s="665"/>
      <c r="H20" s="665"/>
      <c r="I20" s="665"/>
      <c r="J20" s="665"/>
      <c r="K20" s="663"/>
      <c r="L20" s="635"/>
      <c r="M20" s="514"/>
      <c r="N20" s="629"/>
      <c r="O20" s="669"/>
      <c r="P20" s="635"/>
      <c r="Q20" s="722"/>
    </row>
    <row r="21" spans="1:17" ht="18">
      <c r="A21" s="726"/>
      <c r="B21" s="596" t="str">
        <f>CONCATENATE("Size ",HLOOKUP(Lookup!$C$44,Lookup!$E$44:$S$46,2)," Flush")</f>
        <v>Size ? Flush</v>
      </c>
      <c r="C21" s="582" t="str">
        <f>HLOOKUP(Lookup!$C$44,Lookup!$E$44:$S$46,3)</f>
        <v>*</v>
      </c>
      <c r="D21" s="691"/>
      <c r="E21" s="692"/>
      <c r="F21" s="692"/>
      <c r="G21" s="692"/>
      <c r="H21" s="692"/>
      <c r="I21" s="692"/>
      <c r="J21" s="693"/>
      <c r="K21" s="663"/>
      <c r="L21" s="490"/>
      <c r="M21" s="514"/>
      <c r="N21" s="479"/>
      <c r="O21" s="514"/>
      <c r="P21" s="635"/>
      <c r="Q21" s="722"/>
    </row>
    <row r="22" spans="1:19" ht="15">
      <c r="A22" s="723"/>
      <c r="B22" s="616" t="s">
        <v>474</v>
      </c>
      <c r="C22" s="578"/>
      <c r="D22" s="637"/>
      <c r="E22" s="638"/>
      <c r="F22" s="638"/>
      <c r="G22" s="639"/>
      <c r="H22" s="639"/>
      <c r="I22" s="407"/>
      <c r="J22" s="631"/>
      <c r="K22" s="669"/>
      <c r="L22" s="634"/>
      <c r="M22" s="514"/>
      <c r="N22" s="645"/>
      <c r="O22" s="660"/>
      <c r="P22" s="652"/>
      <c r="Q22" s="727"/>
      <c r="R22" s="587"/>
      <c r="S22" s="587"/>
    </row>
    <row r="23" spans="1:17" s="581" customFormat="1" ht="31.5" customHeight="1">
      <c r="A23" s="728"/>
      <c r="B23" s="597"/>
      <c r="C23" s="598" t="str">
        <f>VLOOKUP(Lookup!$C$55,Lookup!$B$57:$O$60,2)</f>
        <v>*</v>
      </c>
      <c r="D23" s="641"/>
      <c r="E23" s="579"/>
      <c r="F23" s="579"/>
      <c r="G23" s="591"/>
      <c r="H23" s="599"/>
      <c r="I23" s="600"/>
      <c r="J23" s="600"/>
      <c r="K23" s="669"/>
      <c r="L23" s="642"/>
      <c r="M23" s="695"/>
      <c r="N23" s="646"/>
      <c r="O23" s="675"/>
      <c r="P23" s="643"/>
      <c r="Q23" s="729"/>
    </row>
    <row r="24" spans="1:17" ht="15">
      <c r="A24" s="723"/>
      <c r="B24" s="588" t="s">
        <v>368</v>
      </c>
      <c r="C24" s="578"/>
      <c r="D24" s="664"/>
      <c r="E24" s="665"/>
      <c r="F24" s="665"/>
      <c r="G24" s="665"/>
      <c r="H24" s="665"/>
      <c r="I24" s="665"/>
      <c r="J24" s="665"/>
      <c r="K24" s="669"/>
      <c r="L24" s="671"/>
      <c r="M24" s="661"/>
      <c r="N24" s="629"/>
      <c r="O24" s="669"/>
      <c r="P24" s="635"/>
      <c r="Q24" s="722"/>
    </row>
    <row r="25" spans="1:17" ht="31.5" customHeight="1">
      <c r="A25" s="721"/>
      <c r="B25" s="417"/>
      <c r="C25" s="582" t="str">
        <f>VLOOKUP(Lookup!$C$66,Lookup!$B$67:$C$70,2)</f>
        <v>*</v>
      </c>
      <c r="D25" s="696"/>
      <c r="E25" s="693"/>
      <c r="F25" s="693"/>
      <c r="G25" s="693"/>
      <c r="H25" s="693"/>
      <c r="I25" s="697"/>
      <c r="J25" s="693"/>
      <c r="K25" s="669"/>
      <c r="L25" s="693"/>
      <c r="M25" s="674"/>
      <c r="N25" s="629"/>
      <c r="O25" s="669"/>
      <c r="P25" s="635"/>
      <c r="Q25" s="722"/>
    </row>
    <row r="26" spans="1:17" ht="15" hidden="1">
      <c r="A26" s="713"/>
      <c r="B26" s="601" t="s">
        <v>376</v>
      </c>
      <c r="C26" s="601"/>
      <c r="D26" s="601"/>
      <c r="E26" s="601"/>
      <c r="F26" s="601"/>
      <c r="G26" s="601" t="s">
        <v>475</v>
      </c>
      <c r="H26" s="601"/>
      <c r="I26" s="602"/>
      <c r="J26" s="601" t="s">
        <v>476</v>
      </c>
      <c r="K26" s="669"/>
      <c r="L26" s="601"/>
      <c r="M26" s="601"/>
      <c r="N26" s="584"/>
      <c r="O26" s="669"/>
      <c r="P26" s="635"/>
      <c r="Q26" s="722"/>
    </row>
    <row r="27" spans="1:17" ht="15">
      <c r="A27" s="723"/>
      <c r="B27" s="603" t="str">
        <f>CONCATENATE("C.T.Rating: ",HLOOKUP(Lookup!$C$44,Lookup!$E$44:$S$47,4))</f>
        <v>C.T.Rating: ?? Hz</v>
      </c>
      <c r="C27" s="604"/>
      <c r="D27" s="630"/>
      <c r="E27" s="631"/>
      <c r="F27" s="631"/>
      <c r="G27" s="631"/>
      <c r="H27" s="631"/>
      <c r="I27" s="631"/>
      <c r="J27" s="631"/>
      <c r="K27" s="669"/>
      <c r="L27" s="638"/>
      <c r="M27" s="638"/>
      <c r="N27" s="585"/>
      <c r="O27" s="669"/>
      <c r="P27" s="635"/>
      <c r="Q27" s="722"/>
    </row>
    <row r="28" spans="1:17" ht="31.5" customHeight="1">
      <c r="A28" s="721"/>
      <c r="B28" s="417"/>
      <c r="C28" s="582" t="str">
        <f>VLOOKUP(Lookup!$C$76,Lookup!$B$77:$C$84,2)</f>
        <v>*</v>
      </c>
      <c r="D28" s="629"/>
      <c r="E28" s="584"/>
      <c r="F28" s="584"/>
      <c r="G28" s="584"/>
      <c r="H28" s="605"/>
      <c r="I28" s="411"/>
      <c r="J28" s="411"/>
      <c r="K28" s="669"/>
      <c r="L28" s="584"/>
      <c r="M28" s="584"/>
      <c r="N28" s="606"/>
      <c r="O28" s="669"/>
      <c r="P28" s="635"/>
      <c r="Q28" s="722"/>
    </row>
    <row r="29" spans="1:17" ht="15">
      <c r="A29" s="723"/>
      <c r="B29" s="615" t="s">
        <v>340</v>
      </c>
      <c r="C29" s="604"/>
      <c r="D29" s="664"/>
      <c r="E29" s="665"/>
      <c r="F29" s="665"/>
      <c r="G29" s="665"/>
      <c r="H29" s="665"/>
      <c r="I29" s="665"/>
      <c r="J29" s="665"/>
      <c r="K29" s="669"/>
      <c r="L29" s="671"/>
      <c r="M29" s="671"/>
      <c r="N29" s="671"/>
      <c r="O29" s="661"/>
      <c r="P29" s="635"/>
      <c r="Q29" s="722"/>
    </row>
    <row r="30" spans="1:17" ht="31.5" customHeight="1">
      <c r="A30" s="721"/>
      <c r="B30" s="417"/>
      <c r="C30" s="582" t="str">
        <f>VLOOKUP(Lookup!$C$94,Lookup!$B$95:$C$99,2)</f>
        <v>*</v>
      </c>
      <c r="D30" s="699"/>
      <c r="E30" s="700"/>
      <c r="F30" s="700"/>
      <c r="G30" s="700"/>
      <c r="H30" s="700"/>
      <c r="I30" s="700"/>
      <c r="J30" s="700"/>
      <c r="K30" s="669"/>
      <c r="L30" s="700"/>
      <c r="M30" s="700"/>
      <c r="N30" s="700"/>
      <c r="O30" s="698"/>
      <c r="P30" s="635"/>
      <c r="Q30" s="722"/>
    </row>
    <row r="31" spans="1:17" ht="18">
      <c r="A31" s="713"/>
      <c r="B31" s="607" t="s">
        <v>120</v>
      </c>
      <c r="C31" s="608" t="str">
        <f>Lookup!$C$144</f>
        <v>*</v>
      </c>
      <c r="D31" s="647"/>
      <c r="E31" s="648"/>
      <c r="F31" s="648"/>
      <c r="G31" s="648"/>
      <c r="H31" s="648"/>
      <c r="I31" s="649"/>
      <c r="J31" s="649"/>
      <c r="K31" s="669"/>
      <c r="L31" s="650"/>
      <c r="M31" s="651"/>
      <c r="N31" s="651"/>
      <c r="O31" s="651"/>
      <c r="P31" s="611"/>
      <c r="Q31" s="722"/>
    </row>
    <row r="32" spans="1:17" ht="15">
      <c r="A32" s="713"/>
      <c r="B32" s="654"/>
      <c r="C32" s="670"/>
      <c r="D32" s="671"/>
      <c r="E32" s="671"/>
      <c r="F32" s="671"/>
      <c r="G32" s="671"/>
      <c r="H32" s="671"/>
      <c r="I32" s="701"/>
      <c r="J32" s="701"/>
      <c r="K32" s="666"/>
      <c r="L32" s="589"/>
      <c r="M32" s="584"/>
      <c r="N32" s="584"/>
      <c r="O32" s="584"/>
      <c r="P32" s="584"/>
      <c r="Q32" s="722"/>
    </row>
    <row r="33" spans="1:19" s="564" customFormat="1" ht="15.75">
      <c r="A33" s="713"/>
      <c r="B33" s="655" t="s">
        <v>81</v>
      </c>
      <c r="C33" s="702"/>
      <c r="D33" s="703"/>
      <c r="E33" s="703"/>
      <c r="F33" s="703"/>
      <c r="G33" s="703"/>
      <c r="H33" s="703"/>
      <c r="I33" s="703"/>
      <c r="J33" s="703"/>
      <c r="K33" s="704"/>
      <c r="L33" s="561"/>
      <c r="M33" s="561"/>
      <c r="N33" s="561"/>
      <c r="O33" s="561"/>
      <c r="P33" s="561"/>
      <c r="Q33" s="716"/>
      <c r="R33" s="563"/>
      <c r="S33" s="563"/>
    </row>
    <row r="34" spans="1:17" ht="15">
      <c r="A34" s="730"/>
      <c r="B34" s="656" t="str">
        <f>HLOOKUP(Lookup!$B$538,Lookup!$C$539:$E$544,3)</f>
        <v>Selection NOT applicable</v>
      </c>
      <c r="C34" s="662"/>
      <c r="D34" s="663"/>
      <c r="E34" s="663"/>
      <c r="F34" s="663"/>
      <c r="G34" s="663"/>
      <c r="H34" s="663"/>
      <c r="I34" s="705"/>
      <c r="J34" s="663"/>
      <c r="K34" s="661"/>
      <c r="L34" s="584"/>
      <c r="M34" s="584"/>
      <c r="N34" s="584"/>
      <c r="O34" s="584"/>
      <c r="P34" s="584"/>
      <c r="Q34" s="722"/>
    </row>
    <row r="35" spans="1:17" ht="33" customHeight="1">
      <c r="A35" s="713"/>
      <c r="B35" s="609"/>
      <c r="C35" s="706"/>
      <c r="D35" s="693"/>
      <c r="E35" s="693"/>
      <c r="F35" s="693"/>
      <c r="G35" s="693"/>
      <c r="H35" s="693"/>
      <c r="I35" s="707"/>
      <c r="J35" s="693"/>
      <c r="K35" s="674"/>
      <c r="L35" s="584"/>
      <c r="M35" s="584"/>
      <c r="N35" s="584"/>
      <c r="O35" s="584"/>
      <c r="P35" s="584"/>
      <c r="Q35" s="722"/>
    </row>
    <row r="36" spans="1:19" s="610" customFormat="1" ht="14.25" customHeight="1">
      <c r="A36" s="731"/>
      <c r="Q36" s="732"/>
      <c r="R36" s="612"/>
      <c r="S36" s="612"/>
    </row>
    <row r="37" spans="1:17" ht="14.25">
      <c r="A37" s="713"/>
      <c r="B37" s="584"/>
      <c r="C37" s="584"/>
      <c r="D37" s="584"/>
      <c r="E37" s="584"/>
      <c r="F37" s="584"/>
      <c r="G37" s="584"/>
      <c r="H37" s="584"/>
      <c r="I37" s="584"/>
      <c r="J37" s="584"/>
      <c r="K37" s="584"/>
      <c r="L37" s="584"/>
      <c r="M37" s="584"/>
      <c r="N37" s="584"/>
      <c r="O37" s="584"/>
      <c r="P37" s="584"/>
      <c r="Q37" s="722"/>
    </row>
    <row r="38" spans="1:17" ht="14.25">
      <c r="A38" s="713"/>
      <c r="B38" s="584" t="s">
        <v>477</v>
      </c>
      <c r="C38" s="584"/>
      <c r="D38" s="584"/>
      <c r="E38" s="584"/>
      <c r="F38" s="584"/>
      <c r="G38" s="584"/>
      <c r="H38" s="584"/>
      <c r="I38" s="584"/>
      <c r="J38" s="584"/>
      <c r="K38" s="584"/>
      <c r="L38" s="584"/>
      <c r="M38" s="584"/>
      <c r="N38" s="584"/>
      <c r="O38" s="584"/>
      <c r="P38" s="584"/>
      <c r="Q38" s="722"/>
    </row>
    <row r="39" spans="1:17" ht="14.25">
      <c r="A39" s="713"/>
      <c r="B39" s="594" t="s">
        <v>478</v>
      </c>
      <c r="C39" s="583"/>
      <c r="D39" s="583"/>
      <c r="E39" s="583"/>
      <c r="F39" s="583"/>
      <c r="G39" s="583"/>
      <c r="H39" s="583"/>
      <c r="I39" s="583"/>
      <c r="J39" s="583"/>
      <c r="K39" s="583"/>
      <c r="L39" s="583"/>
      <c r="M39" s="583"/>
      <c r="N39" s="583"/>
      <c r="O39" s="583"/>
      <c r="P39" s="583"/>
      <c r="Q39" s="722"/>
    </row>
    <row r="40" spans="1:17" ht="14.25">
      <c r="A40" s="713"/>
      <c r="B40" s="594" t="s">
        <v>479</v>
      </c>
      <c r="C40" s="584"/>
      <c r="D40" s="584"/>
      <c r="E40" s="584"/>
      <c r="F40" s="584"/>
      <c r="G40" s="584"/>
      <c r="H40" s="584"/>
      <c r="I40" s="584"/>
      <c r="J40" s="584"/>
      <c r="K40" s="584"/>
      <c r="L40" s="584"/>
      <c r="M40" s="584"/>
      <c r="N40" s="584"/>
      <c r="O40" s="584"/>
      <c r="P40" s="584"/>
      <c r="Q40" s="722"/>
    </row>
    <row r="41" spans="1:17" ht="14.25">
      <c r="A41" s="713"/>
      <c r="B41" s="584" t="s">
        <v>480</v>
      </c>
      <c r="C41" s="584"/>
      <c r="D41" s="584"/>
      <c r="E41" s="584"/>
      <c r="F41" s="584"/>
      <c r="G41" s="584"/>
      <c r="H41" s="584"/>
      <c r="I41" s="584"/>
      <c r="J41" s="584"/>
      <c r="K41" s="584"/>
      <c r="L41" s="584"/>
      <c r="M41" s="584"/>
      <c r="N41" s="584"/>
      <c r="O41" s="584"/>
      <c r="P41" s="584"/>
      <c r="Q41" s="722"/>
    </row>
    <row r="42" spans="1:17" ht="14.25">
      <c r="A42" s="713"/>
      <c r="B42" s="584" t="s">
        <v>481</v>
      </c>
      <c r="C42" s="584"/>
      <c r="D42" s="584"/>
      <c r="E42" s="584"/>
      <c r="F42" s="584"/>
      <c r="G42" s="584"/>
      <c r="H42" s="584"/>
      <c r="I42" s="584"/>
      <c r="J42" s="584"/>
      <c r="K42" s="584"/>
      <c r="L42" s="584"/>
      <c r="M42" s="584"/>
      <c r="N42" s="584"/>
      <c r="O42" s="584"/>
      <c r="P42" s="584"/>
      <c r="Q42" s="722"/>
    </row>
    <row r="43" spans="1:17" ht="14.25">
      <c r="A43" s="713"/>
      <c r="B43" s="584" t="s">
        <v>482</v>
      </c>
      <c r="C43" s="584"/>
      <c r="D43" s="584"/>
      <c r="E43" s="584"/>
      <c r="F43" s="584"/>
      <c r="G43" s="584"/>
      <c r="H43" s="584"/>
      <c r="I43" s="584"/>
      <c r="J43" s="584"/>
      <c r="K43" s="584"/>
      <c r="L43" s="584"/>
      <c r="M43" s="584"/>
      <c r="N43" s="584"/>
      <c r="O43" s="584"/>
      <c r="P43" s="584"/>
      <c r="Q43" s="722"/>
    </row>
    <row r="44" spans="1:17" ht="14.25">
      <c r="A44" s="713"/>
      <c r="B44" s="584" t="s">
        <v>483</v>
      </c>
      <c r="C44" s="584"/>
      <c r="D44" s="584"/>
      <c r="E44" s="584"/>
      <c r="F44" s="584"/>
      <c r="G44" s="584"/>
      <c r="H44" s="584"/>
      <c r="I44" s="584"/>
      <c r="J44" s="584"/>
      <c r="K44" s="584"/>
      <c r="L44" s="584"/>
      <c r="M44" s="584"/>
      <c r="N44" s="584"/>
      <c r="O44" s="584"/>
      <c r="P44" s="584"/>
      <c r="Q44" s="722"/>
    </row>
    <row r="45" spans="1:17" ht="14.25">
      <c r="A45" s="713"/>
      <c r="B45" s="584" t="s">
        <v>484</v>
      </c>
      <c r="C45" s="584"/>
      <c r="D45" s="584"/>
      <c r="E45" s="584"/>
      <c r="F45" s="584"/>
      <c r="G45" s="584"/>
      <c r="H45" s="584"/>
      <c r="I45" s="584"/>
      <c r="J45" s="584"/>
      <c r="K45" s="584"/>
      <c r="L45" s="584"/>
      <c r="M45" s="584"/>
      <c r="N45" s="584"/>
      <c r="O45" s="584"/>
      <c r="P45" s="584"/>
      <c r="Q45" s="722"/>
    </row>
    <row r="46" spans="1:17" ht="14.25">
      <c r="A46" s="713"/>
      <c r="B46" s="584" t="s">
        <v>485</v>
      </c>
      <c r="C46" s="584"/>
      <c r="D46" s="584"/>
      <c r="E46" s="584"/>
      <c r="F46" s="584"/>
      <c r="G46" s="584"/>
      <c r="H46" s="584"/>
      <c r="I46" s="584"/>
      <c r="J46" s="584"/>
      <c r="K46" s="584"/>
      <c r="L46" s="584"/>
      <c r="M46" s="584"/>
      <c r="N46" s="584"/>
      <c r="O46" s="584"/>
      <c r="P46" s="584"/>
      <c r="Q46" s="722"/>
    </row>
    <row r="47" spans="1:17" ht="14.25">
      <c r="A47" s="713"/>
      <c r="B47" s="584" t="s">
        <v>486</v>
      </c>
      <c r="C47" s="584"/>
      <c r="D47" s="584"/>
      <c r="E47" s="584"/>
      <c r="F47" s="584"/>
      <c r="G47" s="584"/>
      <c r="H47" s="584"/>
      <c r="I47" s="584"/>
      <c r="J47" s="584"/>
      <c r="K47" s="584"/>
      <c r="L47" s="584"/>
      <c r="M47" s="584"/>
      <c r="N47" s="584"/>
      <c r="O47" s="584"/>
      <c r="P47" s="584"/>
      <c r="Q47" s="722"/>
    </row>
    <row r="48" spans="1:17" ht="14.25">
      <c r="A48" s="713"/>
      <c r="B48" s="584" t="s">
        <v>487</v>
      </c>
      <c r="C48" s="584"/>
      <c r="D48" s="584"/>
      <c r="E48" s="584"/>
      <c r="F48" s="584"/>
      <c r="G48" s="584"/>
      <c r="H48" s="584"/>
      <c r="I48" s="584"/>
      <c r="J48" s="584"/>
      <c r="K48" s="584"/>
      <c r="L48" s="584"/>
      <c r="M48" s="584"/>
      <c r="N48" s="584"/>
      <c r="O48" s="584"/>
      <c r="P48" s="584"/>
      <c r="Q48" s="722"/>
    </row>
    <row r="49" spans="1:17" ht="14.25">
      <c r="A49" s="713"/>
      <c r="B49" s="584" t="s">
        <v>488</v>
      </c>
      <c r="C49" s="584"/>
      <c r="D49" s="584"/>
      <c r="E49" s="584"/>
      <c r="F49" s="584"/>
      <c r="G49" s="584"/>
      <c r="H49" s="584"/>
      <c r="I49" s="584"/>
      <c r="J49" s="584"/>
      <c r="K49" s="584"/>
      <c r="L49" s="584"/>
      <c r="M49" s="584"/>
      <c r="N49" s="584"/>
      <c r="O49" s="584"/>
      <c r="P49" s="584"/>
      <c r="Q49" s="722"/>
    </row>
    <row r="50" spans="1:17" ht="14.25">
      <c r="A50" s="713"/>
      <c r="B50" s="584" t="s">
        <v>489</v>
      </c>
      <c r="C50" s="584"/>
      <c r="D50" s="584"/>
      <c r="E50" s="584"/>
      <c r="F50" s="584"/>
      <c r="G50" s="584"/>
      <c r="H50" s="584"/>
      <c r="I50" s="584"/>
      <c r="J50" s="584"/>
      <c r="K50" s="584"/>
      <c r="L50" s="584"/>
      <c r="M50" s="584"/>
      <c r="N50" s="584"/>
      <c r="O50" s="584"/>
      <c r="P50" s="584"/>
      <c r="Q50" s="722"/>
    </row>
    <row r="51" spans="1:17" ht="14.25">
      <c r="A51" s="713"/>
      <c r="B51" s="584" t="s">
        <v>490</v>
      </c>
      <c r="C51" s="584"/>
      <c r="D51" s="584"/>
      <c r="E51" s="584"/>
      <c r="F51" s="584"/>
      <c r="G51" s="584"/>
      <c r="H51" s="584"/>
      <c r="I51" s="584"/>
      <c r="J51" s="584"/>
      <c r="K51" s="584"/>
      <c r="L51" s="584"/>
      <c r="M51" s="584"/>
      <c r="N51" s="584"/>
      <c r="O51" s="584"/>
      <c r="P51" s="584"/>
      <c r="Q51" s="722"/>
    </row>
    <row r="52" spans="1:17" ht="14.25">
      <c r="A52" s="713"/>
      <c r="B52" s="584"/>
      <c r="C52" s="584"/>
      <c r="D52" s="584"/>
      <c r="E52" s="584"/>
      <c r="F52" s="584"/>
      <c r="G52" s="584"/>
      <c r="H52" s="584"/>
      <c r="I52" s="584"/>
      <c r="J52" s="584"/>
      <c r="K52" s="584"/>
      <c r="L52" s="584"/>
      <c r="M52" s="584"/>
      <c r="N52" s="584"/>
      <c r="O52" s="584"/>
      <c r="P52" s="584"/>
      <c r="Q52" s="722"/>
    </row>
    <row r="53" spans="1:17" ht="14.25">
      <c r="A53" s="713"/>
      <c r="B53" s="584"/>
      <c r="C53" s="584"/>
      <c r="D53" s="584"/>
      <c r="E53" s="584"/>
      <c r="F53" s="584"/>
      <c r="G53" s="584"/>
      <c r="H53" s="584"/>
      <c r="I53" s="584"/>
      <c r="J53" s="584"/>
      <c r="K53" s="584"/>
      <c r="L53" s="584"/>
      <c r="M53" s="584"/>
      <c r="N53" s="584"/>
      <c r="O53" s="584"/>
      <c r="P53" s="584"/>
      <c r="Q53" s="722"/>
    </row>
    <row r="54" spans="1:17" ht="15" thickBot="1">
      <c r="A54" s="733"/>
      <c r="B54" s="734"/>
      <c r="C54" s="734"/>
      <c r="D54" s="734"/>
      <c r="E54" s="734"/>
      <c r="F54" s="734"/>
      <c r="G54" s="734"/>
      <c r="H54" s="734"/>
      <c r="I54" s="734"/>
      <c r="J54" s="734"/>
      <c r="K54" s="734"/>
      <c r="L54" s="734"/>
      <c r="M54" s="734"/>
      <c r="N54" s="734"/>
      <c r="O54" s="734"/>
      <c r="P54" s="734"/>
      <c r="Q54" s="735"/>
    </row>
  </sheetData>
  <sheetProtection password="C927"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71" r:id="rId2"/>
  <headerFooter alignWithMargins="0">
    <oddHeader>&amp;C&amp;A</oddHeader>
    <oddFooter>&amp;L&amp;F&amp;CPage &amp;P of &amp;N&amp;R&amp;D</oddFooter>
  </headerFooter>
  <legacyDrawing r:id="rId1"/>
</worksheet>
</file>

<file path=xl/worksheets/sheet4.xml><?xml version="1.0" encoding="utf-8"?>
<worksheet xmlns="http://schemas.openxmlformats.org/spreadsheetml/2006/main" xmlns:r="http://schemas.openxmlformats.org/officeDocument/2006/relationships">
  <sheetPr codeName="Sheet3"/>
  <dimension ref="A1:IV164"/>
  <sheetViews>
    <sheetView showGridLines="0" showRowColHeaders="0" zoomScale="75" zoomScaleNormal="75" workbookViewId="0" topLeftCell="A1">
      <selection activeCell="A1" sqref="A1"/>
    </sheetView>
  </sheetViews>
  <sheetFormatPr defaultColWidth="9.00390625" defaultRowHeight="14.25"/>
  <cols>
    <col min="1" max="1" width="18.75390625" style="0" customWidth="1"/>
    <col min="2" max="2" width="33.75390625" style="0" customWidth="1"/>
    <col min="3" max="3" width="16.625" style="0" customWidth="1"/>
    <col min="4" max="4" width="8.125" style="1" customWidth="1"/>
    <col min="5" max="5" width="27.625" style="0" customWidth="1"/>
    <col min="6" max="6" width="14.625" style="1" customWidth="1"/>
    <col min="7" max="7" width="7.375" style="1" customWidth="1"/>
    <col min="8" max="8" width="9.625" style="1" customWidth="1"/>
  </cols>
  <sheetData>
    <row r="1" spans="1:256" s="2" customFormat="1" ht="18">
      <c r="A1" s="247"/>
      <c r="B1" s="248" t="s">
        <v>491</v>
      </c>
      <c r="C1" s="248"/>
      <c r="D1" s="248"/>
      <c r="E1" s="248"/>
      <c r="F1" s="18"/>
      <c r="G1" s="18"/>
      <c r="H1" s="19"/>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8" ht="20.25">
      <c r="A2" s="249" t="s">
        <v>492</v>
      </c>
      <c r="B2" s="390" t="s">
        <v>634</v>
      </c>
      <c r="C2" s="21"/>
      <c r="D2" s="27"/>
      <c r="E2" s="4"/>
      <c r="F2" s="14"/>
      <c r="G2" s="28" t="s">
        <v>493</v>
      </c>
      <c r="H2" s="26"/>
    </row>
    <row r="3" spans="1:256" s="2" customFormat="1" ht="20.25">
      <c r="A3" s="249" t="s">
        <v>494</v>
      </c>
      <c r="B3" s="156" t="str">
        <f>IF(Lookup!$C$44="KCGG33","KCGG341",IF(OR(Nomenclature!$K$5="L",Nomenclature!$K$5="N",Nomenclature!$K$5="P"),CONCATENATE(Nomenclature!C5,Nomenclature!D5,Nomenclature!E5,Nomenclature!F5,Nomenclature!G5,Nomenclature!H5,Nomenclature!I5,"VER2"),CONCATENATE(Nomenclature!C5,Nomenclature!D5,Nomenclature!E5,Nomenclature!F5,Nomenclature!G5,Nomenclature!H5,Nomenclature!I5)))</f>
        <v>K******</v>
      </c>
      <c r="C3" s="250" t="s">
        <v>495</v>
      </c>
      <c r="D3" s="44" t="str">
        <f>Nomenclature!$P$5</f>
        <v>*</v>
      </c>
      <c r="E3" s="250" t="s">
        <v>496</v>
      </c>
      <c r="F3" s="90">
        <v>76</v>
      </c>
      <c r="G3" s="29" t="s">
        <v>497</v>
      </c>
      <c r="H3" s="32" t="s">
        <v>498</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8" ht="20.25">
      <c r="A4" s="53" t="s">
        <v>499</v>
      </c>
      <c r="B4" s="157" t="str">
        <f>CONCATENATE(Nomenclature!C5,Nomenclature!D5,Nomenclature!E5,Nomenclature!F5,Nomenclature!G5,Nomenclature!H5,Nomenclature!I5,Nomenclature!J5,Nomenclature!K5,Nomenclature!L5,Nomenclature!M5,Nomenclature!N5,Nomenclature!O5,Nomenclature!P5)</f>
        <v>K**************</v>
      </c>
      <c r="C4" s="54"/>
      <c r="D4" s="55"/>
      <c r="E4" s="56"/>
      <c r="F4" s="57" t="s">
        <v>500</v>
      </c>
      <c r="G4" s="164" t="str">
        <f>IF(Nomenclature!$D$5="*","109???",VLOOKUP(Lookup!$C$238,Lookup!$D$218:$G$237,HLOOKUP(Lookup!$B$216,Lookup!$F$216:$G$217,2,TRUE)))</f>
        <v>109???</v>
      </c>
      <c r="H4" s="165"/>
    </row>
    <row r="5" spans="1:8" ht="15">
      <c r="A5" s="3"/>
      <c r="B5" s="251" t="str">
        <f>VLOOKUP(Lookup!$B$102,Lookup!$B$103:$G$122,2)</f>
        <v>K RANGE SERIES 2 RELAY</v>
      </c>
      <c r="C5" s="163"/>
      <c r="D5" s="252"/>
      <c r="E5" s="252"/>
      <c r="F5" s="252"/>
      <c r="G5" s="83"/>
      <c r="H5" s="10"/>
    </row>
    <row r="6" spans="1:8" ht="15">
      <c r="A6" s="3"/>
      <c r="B6" s="251" t="str">
        <f>VLOOKUP(Lookup!$B$102,Lookup!$B$103:$G$122,3)</f>
        <v> NOT YET SPECIFIED</v>
      </c>
      <c r="C6" s="163"/>
      <c r="D6" s="252"/>
      <c r="E6" s="252"/>
      <c r="F6" s="252"/>
      <c r="G6" s="83"/>
      <c r="H6" s="10"/>
    </row>
    <row r="7" spans="1:8" ht="14.25">
      <c r="A7" s="3"/>
      <c r="B7" s="251" t="str">
        <f>VLOOKUP(Lookup!$B$102,Lookup!$B$103:$G$122,4)</f>
        <v> </v>
      </c>
      <c r="C7" s="160"/>
      <c r="D7" s="253"/>
      <c r="E7" s="254"/>
      <c r="F7" s="253"/>
      <c r="G7" s="14"/>
      <c r="H7" s="10"/>
    </row>
    <row r="8" spans="1:8" ht="14.25">
      <c r="A8" s="3"/>
      <c r="B8" s="251" t="str">
        <f>VLOOKUP(Lookup!$B$102,Lookup!$B$103:$G$122,5)</f>
        <v> </v>
      </c>
      <c r="C8" s="254"/>
      <c r="D8" s="253"/>
      <c r="E8" s="254"/>
      <c r="F8" s="253"/>
      <c r="G8" s="14"/>
      <c r="H8" s="10"/>
    </row>
    <row r="9" spans="1:8" ht="14.25">
      <c r="A9" s="3"/>
      <c r="B9" s="251" t="str">
        <f>VLOOKUP(Lookup!$B$102,Lookup!$B$103:$G$122,6)</f>
        <v> </v>
      </c>
      <c r="C9" s="254"/>
      <c r="D9" s="253"/>
      <c r="E9" s="254"/>
      <c r="F9" s="253"/>
      <c r="G9" s="14"/>
      <c r="H9" s="10"/>
    </row>
    <row r="10" spans="1:8" ht="14.25">
      <c r="A10" s="3"/>
      <c r="B10" s="4"/>
      <c r="C10" s="4"/>
      <c r="D10" s="4"/>
      <c r="E10" s="41"/>
      <c r="F10" s="41"/>
      <c r="G10" s="41"/>
      <c r="H10" s="47"/>
    </row>
    <row r="11" spans="1:8" ht="14.25">
      <c r="A11" s="35" t="s">
        <v>501</v>
      </c>
      <c r="B11" s="39" t="str">
        <f>CONCATENATE(Nomenclature!C4,Nomenclature!D4,Nomenclature!E4,Nomenclature!F4,Nomenclature!G4,Nomenclature!H4,Nomenclature!I4,Nomenclature!J4,Nomenclature!K4,Nomenclature!L4,Nomenclature!M4,Nomenclature!N4,Nomenclature!O4,Nomenclature!P4)</f>
        <v>AAAANNNXXANNAAA</v>
      </c>
      <c r="C11" s="20" t="s">
        <v>502</v>
      </c>
      <c r="D11" s="40"/>
      <c r="E11" s="20" t="s">
        <v>503</v>
      </c>
      <c r="F11" s="40"/>
      <c r="G11" s="4"/>
      <c r="H11" s="48"/>
    </row>
    <row r="12" spans="1:8" ht="14.25">
      <c r="A12" s="36" t="s">
        <v>504</v>
      </c>
      <c r="B12" s="39" t="s">
        <v>506</v>
      </c>
      <c r="C12" s="36" t="s">
        <v>507</v>
      </c>
      <c r="D12" s="36" t="s">
        <v>508</v>
      </c>
      <c r="E12" s="36" t="s">
        <v>507</v>
      </c>
      <c r="F12" s="36" t="s">
        <v>508</v>
      </c>
      <c r="G12" s="4"/>
      <c r="H12" s="48"/>
    </row>
    <row r="13" spans="1:8" ht="15" customHeight="1">
      <c r="A13" s="37" t="str">
        <f>IF(Lookup!$C$1=4,"","01")</f>
        <v>01</v>
      </c>
      <c r="B13" s="144" t="str">
        <f>IF(Lookup!$C$1=2,"C.T.RATINGS ( O/C &amp; E/F)",IF(Lookup!$C$1=3,"C.T.RATINGS",IF(Lookup!$C$1=4,"","?")))</f>
        <v>?</v>
      </c>
      <c r="C13" s="37" t="str">
        <f>IF(Lookup!$C$1=1,"?",HLOOKUP(Lookup!$C$367,Lookup!$D$367:$L$372,3))</f>
        <v>?</v>
      </c>
      <c r="D13" s="37" t="str">
        <f>IF(Lookup!$C$1=1,"?",HLOOKUP(Lookup!$C$367,Lookup!$D$367:$L$372,4))</f>
        <v>?</v>
      </c>
      <c r="E13" s="37" t="str">
        <f>IF(Lookup!$C$1=1,"?",HLOOKUP(Lookup!$C$367,Lookup!$D$367:$L$372,5))</f>
        <v>?</v>
      </c>
      <c r="F13" s="37" t="str">
        <f>IF(Lookup!$C$1=1,"?",HLOOKUP(Lookup!$C$367,Lookup!$D$367:$L$372,6))</f>
        <v>?</v>
      </c>
      <c r="G13" s="4"/>
      <c r="H13" s="48"/>
    </row>
    <row r="14" spans="1:8" ht="14.25">
      <c r="A14" s="169">
        <f>IF(Lookup!$C$1=4,1,A13+1)</f>
        <v>2</v>
      </c>
      <c r="B14" s="18" t="s">
        <v>509</v>
      </c>
      <c r="C14" s="37" t="str">
        <f>HLOOKUP(Lookup!$B$126,Lookup!$C$126:$F$127,2)</f>
        <v>?</v>
      </c>
      <c r="D14" s="45" t="s">
        <v>510</v>
      </c>
      <c r="E14" s="34"/>
      <c r="F14" s="34"/>
      <c r="G14" s="4"/>
      <c r="H14" s="48"/>
    </row>
    <row r="15" spans="1:8" ht="14.25">
      <c r="A15" s="169">
        <f aca="true" t="shared" si="0" ref="A15:A20">A14+1</f>
        <v>3</v>
      </c>
      <c r="B15" s="39" t="s">
        <v>511</v>
      </c>
      <c r="C15" s="37" t="str">
        <f>HLOOKUP(Lookup!$B$128,Lookup!$C$128:$F$130,2)</f>
        <v>?</v>
      </c>
      <c r="D15" s="45" t="s">
        <v>143</v>
      </c>
      <c r="E15" s="37" t="str">
        <f>HLOOKUP(Lookup!$B$128,Lookup!$C$128:$F$130,3)</f>
        <v>?</v>
      </c>
      <c r="F15" s="45" t="s">
        <v>512</v>
      </c>
      <c r="G15" s="4"/>
      <c r="H15" s="48"/>
    </row>
    <row r="16" spans="1:8" ht="14.25">
      <c r="A16" s="169">
        <f t="shared" si="0"/>
        <v>4</v>
      </c>
      <c r="B16" s="39" t="s">
        <v>513</v>
      </c>
      <c r="C16" s="37" t="str">
        <f>HLOOKUP(Lookup!$B$131,Lookup!$C$131:$F$133,2)</f>
        <v>?</v>
      </c>
      <c r="D16" s="45" t="s">
        <v>143</v>
      </c>
      <c r="E16" s="37" t="str">
        <f>HLOOKUP(Lookup!$B$131,Lookup!$C$131:$F$133,3)</f>
        <v>?</v>
      </c>
      <c r="F16" s="45" t="s">
        <v>514</v>
      </c>
      <c r="G16" s="4"/>
      <c r="H16" s="48"/>
    </row>
    <row r="17" spans="1:8" ht="14.25">
      <c r="A17" s="169">
        <f t="shared" si="0"/>
        <v>5</v>
      </c>
      <c r="B17" s="39" t="s">
        <v>513</v>
      </c>
      <c r="C17" s="37" t="str">
        <f>HLOOKUP(Lookup!$B$134,Lookup!$C$134:$F$136,2)</f>
        <v>?</v>
      </c>
      <c r="D17" s="45" t="s">
        <v>143</v>
      </c>
      <c r="E17" s="37" t="str">
        <f>HLOOKUP(Lookup!$B$134,Lookup!$C$134:$F$136,3)</f>
        <v>?</v>
      </c>
      <c r="F17" s="45" t="s">
        <v>510</v>
      </c>
      <c r="G17" s="4"/>
      <c r="H17" s="48"/>
    </row>
    <row r="18" spans="1:8" ht="14.25">
      <c r="A18" s="169">
        <f t="shared" si="0"/>
        <v>6</v>
      </c>
      <c r="B18" s="39" t="s">
        <v>515</v>
      </c>
      <c r="C18" s="43">
        <v>0</v>
      </c>
      <c r="D18" s="37" t="str">
        <f>HLOOKUP(Lookup!$B$137,Lookup!$C$137:$G$138,2)</f>
        <v>?</v>
      </c>
      <c r="E18" s="34"/>
      <c r="F18" s="34"/>
      <c r="G18" s="42"/>
      <c r="H18" s="48"/>
    </row>
    <row r="19" spans="1:8" ht="14.25">
      <c r="A19" s="169">
        <f t="shared" si="0"/>
        <v>7</v>
      </c>
      <c r="B19" s="39" t="s">
        <v>516</v>
      </c>
      <c r="C19" s="43">
        <v>50</v>
      </c>
      <c r="D19" s="367" t="s">
        <v>144</v>
      </c>
      <c r="E19" s="34">
        <v>60</v>
      </c>
      <c r="F19" s="34" t="s">
        <v>517</v>
      </c>
      <c r="G19" s="42"/>
      <c r="H19" s="48"/>
    </row>
    <row r="20" spans="1:8" ht="14.25">
      <c r="A20" s="125">
        <f t="shared" si="0"/>
        <v>8</v>
      </c>
      <c r="B20" s="39" t="s">
        <v>518</v>
      </c>
      <c r="C20" s="104">
        <v>0</v>
      </c>
      <c r="D20" s="125" t="str">
        <f>HLOOKUP(Lookup!$B$139,Lookup!$C$139:$L$141,2)</f>
        <v>??</v>
      </c>
      <c r="E20" s="104">
        <v>0</v>
      </c>
      <c r="F20" s="125" t="str">
        <f>HLOOKUP(Lookup!$B$139,Lookup!$C$139:$L$141,3)</f>
        <v>??</v>
      </c>
      <c r="G20" s="42"/>
      <c r="H20" s="48"/>
    </row>
    <row r="21" spans="1:8" ht="14.25">
      <c r="A21" s="125">
        <v>9</v>
      </c>
      <c r="B21" s="144" t="str">
        <f>IF(Lookup!C193=0,"S/W REF HEX FILE 18??????",CONCATENATE("S/W REF HEX FILE 18",VLOOKUP(Lookup!C193,Lookup!D168:K192,8,FALSE)))</f>
        <v>S/W REF HEX FILE 18??????</v>
      </c>
      <c r="C21" s="104">
        <v>0</v>
      </c>
      <c r="D21" s="104"/>
      <c r="E21" s="126"/>
      <c r="F21" s="126"/>
      <c r="G21" s="42"/>
      <c r="H21" s="48"/>
    </row>
    <row r="22" spans="1:8" ht="14.25">
      <c r="A22" s="125">
        <v>10</v>
      </c>
      <c r="B22" s="171" t="str">
        <f>CONCATENATE("EPROM ",F58)</f>
        <v>EPROM ZB959805?</v>
      </c>
      <c r="C22" s="104">
        <v>0</v>
      </c>
      <c r="D22" s="104"/>
      <c r="E22" s="126"/>
      <c r="F22" s="126"/>
      <c r="G22" s="42"/>
      <c r="H22" s="48"/>
    </row>
    <row r="23" spans="1:8" ht="14.25">
      <c r="A23" s="255"/>
      <c r="B23" s="4"/>
      <c r="C23" s="46"/>
      <c r="D23" s="42"/>
      <c r="E23" s="42"/>
      <c r="F23" s="42"/>
      <c r="G23" s="42"/>
      <c r="H23" s="48"/>
    </row>
    <row r="24" spans="1:8" ht="14.25">
      <c r="A24" s="3"/>
      <c r="B24" s="4"/>
      <c r="C24" s="4"/>
      <c r="D24" s="14"/>
      <c r="E24" s="4"/>
      <c r="F24" s="14"/>
      <c r="G24" s="14"/>
      <c r="H24" s="10"/>
    </row>
    <row r="25" spans="1:8" ht="14.25">
      <c r="A25" s="3"/>
      <c r="B25" s="4" t="s">
        <v>519</v>
      </c>
      <c r="C25" s="160" t="str">
        <f>IF(Nomenclature!$K$5="*",": GJ00?????",VLOOKUP(Lookup!$C$195,Lookup!$D$196:$K$213,3))</f>
        <v>: GJ00?????</v>
      </c>
      <c r="D25" s="14"/>
      <c r="E25" s="4" t="s">
        <v>520</v>
      </c>
      <c r="F25" s="163" t="str">
        <f>IF(Nomenclature!$K$5="*",": GJ0025 SHEET ?",VLOOKUP(Lookup!$C$195,Lookup!$D$196:$K$213,4))</f>
        <v>: GJ0025 SHEET ?</v>
      </c>
      <c r="G25" s="14"/>
      <c r="H25" s="10"/>
    </row>
    <row r="26" spans="1:8" ht="14.25">
      <c r="A26" s="3"/>
      <c r="B26" s="4" t="s">
        <v>521</v>
      </c>
      <c r="C26" s="160" t="str">
        <f>IF(Nomenclature!$K$5="*",": GJ0028???",VLOOKUP(Lookup!$C$195,Lookup!$D$196:$K$213,5))</f>
        <v>: GJ0028???</v>
      </c>
      <c r="D26" s="14"/>
      <c r="E26" s="4"/>
      <c r="F26" s="14"/>
      <c r="G26" s="14"/>
      <c r="H26" s="10"/>
    </row>
    <row r="27" spans="1:8" ht="15">
      <c r="A27" s="3"/>
      <c r="B27" s="4" t="s">
        <v>522</v>
      </c>
      <c r="C27" s="256" t="str">
        <f>IF(Lookup!$C$193=0,": 20K??????01",VLOOKUP(Lookup!$C$193,Lookup!$D$168:$J$192,2,FALSE))</f>
        <v>: 20K??????01</v>
      </c>
      <c r="D27" s="14"/>
      <c r="E27" s="4" t="s">
        <v>523</v>
      </c>
      <c r="F27" s="256" t="str">
        <f>IF(Lookup!$C$193=0,": 10KC?G???01",VLOOKUP(Lookup!$C$193,Lookup!$D$168:$H$192,5,FALSE))</f>
        <v>: 10KC?G???01</v>
      </c>
      <c r="G27" s="257"/>
      <c r="H27" s="10"/>
    </row>
    <row r="28" spans="1:8" ht="14.25">
      <c r="A28" s="3"/>
      <c r="B28" s="4" t="s">
        <v>524</v>
      </c>
      <c r="C28" s="256" t="str">
        <f>IF(Lookup!$C$193=0,": 08K??????01",VLOOKUP(Lookup!$C$193,Lookup!$D$168:$H$192,3,FALSE))</f>
        <v>: 08K??????01</v>
      </c>
      <c r="D28" s="14"/>
      <c r="E28" s="4" t="s">
        <v>525</v>
      </c>
      <c r="F28" s="258" t="s">
        <v>526</v>
      </c>
      <c r="G28" s="14"/>
      <c r="H28" s="10"/>
    </row>
    <row r="29" spans="1:8" ht="15">
      <c r="A29" s="3"/>
      <c r="B29" s="4" t="s">
        <v>527</v>
      </c>
      <c r="C29" s="256" t="str">
        <f>IF(Lookup!$C$193=0,": 02K??????01",VLOOKUP(Lookup!$C$193,Lookup!$D$168:$H$192,4,FALSE))</f>
        <v>: 02K??????01</v>
      </c>
      <c r="D29" s="14"/>
      <c r="E29" s="4" t="s">
        <v>528</v>
      </c>
      <c r="F29" s="256" t="str">
        <f>IF(Lookup!B168="K******",": 07K??????",VLOOKUP(Lookup!$C$193,Lookup!$D$168:$K$192,6))</f>
        <v>: 07K??????</v>
      </c>
      <c r="G29" s="186"/>
      <c r="H29" s="10"/>
    </row>
    <row r="30" spans="1:8" ht="14.25">
      <c r="A30" s="3"/>
      <c r="B30" s="4" t="s">
        <v>529</v>
      </c>
      <c r="C30" s="259"/>
      <c r="D30" s="14"/>
      <c r="E30" s="4"/>
      <c r="F30" s="14"/>
      <c r="G30" s="14"/>
      <c r="H30" s="10"/>
    </row>
    <row r="31" spans="1:8" ht="14.25">
      <c r="A31" s="3"/>
      <c r="B31" s="4" t="s">
        <v>530</v>
      </c>
      <c r="C31" s="4"/>
      <c r="D31" s="14"/>
      <c r="E31" s="4"/>
      <c r="F31" s="14"/>
      <c r="G31" s="14"/>
      <c r="H31" s="10"/>
    </row>
    <row r="32" spans="1:8" ht="14.25">
      <c r="A32" s="3"/>
      <c r="B32" s="4"/>
      <c r="C32" s="4"/>
      <c r="D32" s="14"/>
      <c r="E32" s="4"/>
      <c r="F32" s="14"/>
      <c r="G32" s="14"/>
      <c r="H32" s="10"/>
    </row>
    <row r="33" spans="1:8" ht="14.25">
      <c r="A33" s="3"/>
      <c r="B33" s="4"/>
      <c r="C33" s="4"/>
      <c r="D33" s="14"/>
      <c r="E33" s="4"/>
      <c r="F33" s="14"/>
      <c r="G33" s="14"/>
      <c r="H33" s="10"/>
    </row>
    <row r="34" spans="1:8" ht="14.25">
      <c r="A34" s="6"/>
      <c r="B34" s="7"/>
      <c r="C34" s="7"/>
      <c r="D34" s="12"/>
      <c r="E34" s="7"/>
      <c r="F34" s="12"/>
      <c r="G34" s="12"/>
      <c r="H34" s="9"/>
    </row>
    <row r="35" spans="1:8" ht="14.25">
      <c r="A35" s="20" t="s">
        <v>531</v>
      </c>
      <c r="B35" s="11"/>
      <c r="C35" s="11"/>
      <c r="D35" s="28" t="s">
        <v>532</v>
      </c>
      <c r="E35" s="11" t="s">
        <v>533</v>
      </c>
      <c r="F35" s="11"/>
      <c r="G35" s="18" t="s">
        <v>534</v>
      </c>
      <c r="H35" s="19"/>
    </row>
    <row r="36" spans="1:8" ht="14.25">
      <c r="A36" s="6"/>
      <c r="B36" s="7" t="s">
        <v>535</v>
      </c>
      <c r="C36" s="8" t="s">
        <v>536</v>
      </c>
      <c r="D36" s="29" t="s">
        <v>537</v>
      </c>
      <c r="E36" s="7" t="s">
        <v>535</v>
      </c>
      <c r="F36" s="12" t="s">
        <v>538</v>
      </c>
      <c r="G36" s="12" t="s">
        <v>539</v>
      </c>
      <c r="H36" s="9" t="s">
        <v>540</v>
      </c>
    </row>
    <row r="37" spans="1:8" ht="15">
      <c r="A37" s="22"/>
      <c r="B37" s="18"/>
      <c r="C37" s="23"/>
      <c r="D37" s="28"/>
      <c r="E37" s="18"/>
      <c r="F37" s="25"/>
      <c r="G37" s="25"/>
      <c r="H37" s="26"/>
    </row>
    <row r="38" spans="1:8" ht="14.25">
      <c r="A38" s="3"/>
      <c r="B38" s="4" t="s">
        <v>541</v>
      </c>
      <c r="C38" s="158" t="str">
        <f>IF(Nomenclature!$K$5="*","GJ00?????",VLOOKUP(Lookup!$C$195,Lookup!$D$196:$K$213,6))</f>
        <v>GJ00?????</v>
      </c>
      <c r="D38" s="30"/>
      <c r="E38" s="4"/>
      <c r="F38" s="14"/>
      <c r="G38" s="14"/>
      <c r="H38" s="10">
        <v>1</v>
      </c>
    </row>
    <row r="39" spans="1:8" ht="14.25">
      <c r="A39" s="3"/>
      <c r="B39" s="4"/>
      <c r="C39" s="4"/>
      <c r="D39" s="159">
        <f>IF(Nomenclature!$K$5="H",2,4)</f>
        <v>4</v>
      </c>
      <c r="E39" s="24" t="s">
        <v>542</v>
      </c>
      <c r="F39" s="161" t="str">
        <f>IF(Lookup!$C$193=0,"GJ0014???",VLOOKUP(Lookup!$C$193,Lookup!$D$168:$J$192,7))</f>
        <v>GJ0014???</v>
      </c>
      <c r="G39" s="15"/>
      <c r="H39" s="10">
        <v>1</v>
      </c>
    </row>
    <row r="40" spans="1:8" ht="14.25">
      <c r="A40" s="3"/>
      <c r="B40" s="4"/>
      <c r="C40" s="4"/>
      <c r="D40" s="159">
        <f>IF(Nomenclature!$K$5="H",2,4)</f>
        <v>4</v>
      </c>
      <c r="E40" s="163" t="str">
        <f>IF(Lookup!$C$195="K*******","Terminal Block '?'",CONCATENATE("Terminal Block '",VLOOKUP(Lookup!$C$195,Lookup!$D$196:$O$213,12),"'"))</f>
        <v>Terminal Block '?'</v>
      </c>
      <c r="F40" s="15" t="s">
        <v>543</v>
      </c>
      <c r="G40" s="15"/>
      <c r="H40" s="10">
        <v>1</v>
      </c>
    </row>
    <row r="41" spans="1:8" ht="14.25">
      <c r="A41" s="3"/>
      <c r="B41" s="4"/>
      <c r="C41" s="4"/>
      <c r="D41" s="159">
        <f>IF(OR(Lookup!$C$1=4,Lookup!$C$195="K*******"),28,"")</f>
        <v>28</v>
      </c>
      <c r="E41" s="163" t="str">
        <f>IF(OR(Lookup!$C$1=4,Lookup!$C$195="K*******"),"Bagged Terminals","")</f>
        <v>Bagged Terminals</v>
      </c>
      <c r="F41" s="161" t="str">
        <f>IF(OR(Lookup!$C$1=4,Lookup!$C$195="K*******"),"ZA0005060","")</f>
        <v>ZA0005060</v>
      </c>
      <c r="G41" s="15"/>
      <c r="H41" s="162" t="str">
        <f>IF(Lookup!$C$1=4,1,IF(Lookup!$C$195="K*******","?",""))</f>
        <v>?</v>
      </c>
    </row>
    <row r="42" spans="1:8" ht="14.25">
      <c r="A42" s="3"/>
      <c r="B42" s="4"/>
      <c r="C42" s="4"/>
      <c r="D42" s="159">
        <f>IF(Nomenclature!$K$5="D",29,25)</f>
        <v>25</v>
      </c>
      <c r="E42" s="24" t="s">
        <v>544</v>
      </c>
      <c r="F42" s="15" t="s">
        <v>545</v>
      </c>
      <c r="G42" s="14"/>
      <c r="H42" s="162">
        <f>IF(Lookup!$C$1=4,1,2)</f>
        <v>2</v>
      </c>
    </row>
    <row r="43" spans="1:8" ht="14.25">
      <c r="A43" s="3"/>
      <c r="B43" s="4"/>
      <c r="C43" s="4"/>
      <c r="D43" s="159">
        <f>IF(Nomenclature!$K$5="D",30,26)</f>
        <v>26</v>
      </c>
      <c r="E43" s="24" t="s">
        <v>546</v>
      </c>
      <c r="F43" s="161" t="str">
        <f>IF(OR(Nomenclature!$K$5="D",Nomenclature!$K$5="F",Nomenclature!$K$5="H"),"ZA0005062",IF(OR(Nomenclature!$K$5="L",Nomenclature!$K$5="N",Nomenclature!$K$5="P"),"ZA0005106","ZA0005???"))</f>
        <v>ZA0005???</v>
      </c>
      <c r="G43" s="14"/>
      <c r="H43" s="10">
        <v>1</v>
      </c>
    </row>
    <row r="44" spans="1:8" ht="14.25">
      <c r="A44" s="3"/>
      <c r="B44" s="4"/>
      <c r="C44" s="4"/>
      <c r="D44" s="159" t="str">
        <f>IF(OR(Nomenclature!$K$5="D",Nomenclature!$K$5="L"),23,IF(OR(Nomenclature!$K$5="F",Nomenclature!$K$5="N"),16,IF(OR(Nomenclature!$K$5="H",Nomenclature!$K$5="P"),14,"???")))</f>
        <v>???</v>
      </c>
      <c r="E44" s="24" t="s">
        <v>547</v>
      </c>
      <c r="F44" s="15" t="s">
        <v>548</v>
      </c>
      <c r="G44" s="14"/>
      <c r="H44" s="10">
        <v>1</v>
      </c>
    </row>
    <row r="45" spans="1:8" ht="14.25">
      <c r="A45" s="3"/>
      <c r="B45" s="4" t="s">
        <v>549</v>
      </c>
      <c r="C45" s="158" t="str">
        <f>IF(Nomenclature!$K$5="*","GJ0???000",VLOOKUP(Lookup!$C$195,Lookup!$D$196:$K$213,2))</f>
        <v>GJ0???000</v>
      </c>
      <c r="D45" s="114"/>
      <c r="E45" s="4"/>
      <c r="F45" s="14"/>
      <c r="G45" s="14"/>
      <c r="H45" s="10">
        <v>1</v>
      </c>
    </row>
    <row r="46" spans="1:8" ht="14.25">
      <c r="A46" s="3"/>
      <c r="B46" s="4"/>
      <c r="C46" s="4"/>
      <c r="D46" s="159" t="str">
        <f>IF(Nomenclature!$G$5="*","???",IF(Nomenclature!$G$5="3","041",""))</f>
        <v>???</v>
      </c>
      <c r="E46" s="160" t="str">
        <f>IF(Nomenclature!$G$5="*","?",IF(Nomenclature!$G$5="3","Aux Mtg Bracket",""))</f>
        <v>?</v>
      </c>
      <c r="F46" s="161" t="str">
        <f>IF(Nomenclature!$G$5="*","?",IF(Nomenclature!$G$5="3","GJ2268001",""))</f>
        <v>?</v>
      </c>
      <c r="G46" s="33"/>
      <c r="H46" s="162" t="str">
        <f>IF(Nomenclature!$G$5="*","?",IF(Nomenclature!$G$5="3",1,""))</f>
        <v>?</v>
      </c>
    </row>
    <row r="47" spans="1:8" ht="14.25">
      <c r="A47" s="3"/>
      <c r="B47" s="4"/>
      <c r="C47" s="5"/>
      <c r="D47" s="114">
        <v>5</v>
      </c>
      <c r="E47" s="24" t="s">
        <v>550</v>
      </c>
      <c r="F47" s="268" t="str">
        <f>IF(Nomenclature!$K$5="*","GJ910????",VLOOKUP(Lookup!$C$195,Lookup!$D$196:$K$213,7))</f>
        <v>GJ910????</v>
      </c>
      <c r="G47" s="14"/>
      <c r="H47" s="31">
        <v>1</v>
      </c>
    </row>
    <row r="48" spans="1:8" ht="15">
      <c r="A48" s="330"/>
      <c r="B48" s="4"/>
      <c r="C48" s="4"/>
      <c r="D48" s="159" t="str">
        <f>IF(OR(Nomenclature!$K$5="D",Nomenclature!$K$5="F",Nomenclature!$K$5="H"),"010",IF(OR(Nomenclature!$K$5="L",Nomenclature!$K$5="N",Nomenclature!$K$5="P"),"","???"))</f>
        <v>???</v>
      </c>
      <c r="E48" s="163" t="str">
        <f>IF(OR(Nomenclature!$K$5="L",Nomenclature!$K$5="N",Nomenclature!$K$5="P"),"","Label Type Ref")</f>
        <v>Label Type Ref</v>
      </c>
      <c r="F48" s="161" t="str">
        <f>IF(Nomenclature!$E$5="*","GJ9120???",IF(OR(Nomenclature!$K$5="L",Nomenclature!$K$5="N",Nomenclature!$K$5="P"),"",VLOOKUP(Lookup!$C$238,Lookup!$D$218:$E$237,2)))</f>
        <v>GJ9120???</v>
      </c>
      <c r="G48" s="16"/>
      <c r="H48" s="162">
        <f>IF(OR(Nomenclature!$D$5="V",Nomenclature!$K$5="L",Nomenclature!$K$5="N",Nomenclature!$K$5="P"),"",1)</f>
        <v>1</v>
      </c>
    </row>
    <row r="49" spans="1:8" ht="14.25">
      <c r="A49" s="3"/>
      <c r="B49" s="4"/>
      <c r="C49" s="4"/>
      <c r="D49" s="114">
        <v>12</v>
      </c>
      <c r="E49" s="24" t="s">
        <v>551</v>
      </c>
      <c r="F49" s="161" t="str">
        <f>IF(Nomenclature!$K$5="*","GJ91??1??",VLOOKUP(Lookup!$C$260,Lookup!$D$240:$E$259,2))</f>
        <v>GJ91??1??</v>
      </c>
      <c r="G49" s="17"/>
      <c r="H49" s="10">
        <v>1</v>
      </c>
    </row>
    <row r="50" spans="1:8" ht="14.25">
      <c r="A50" s="3"/>
      <c r="B50" s="4"/>
      <c r="C50" s="4"/>
      <c r="D50" s="159" t="str">
        <f>IF(OR(Nomenclature!$D$5="V",Nomenclature!$H$5="4",Nomenclature!$H$5="5"),"",IF(OR(Nomenclature!$K$5="D",Nomenclature!$K$5="F",Nomenclature!$K$5="H",Nomenclature!$K$5="L",Nomenclature!$K$5="N",Nomenclature!$K$5="P"),45,"??"))</f>
        <v>??</v>
      </c>
      <c r="E50" s="160" t="str">
        <f>IF(OR(Nomenclature!$D$5="V",Nomenclature!$H$5="4",Nomenclature!$H$5="5"),"","Link")</f>
        <v>Link</v>
      </c>
      <c r="F50" s="161" t="str">
        <f>IF(OR(Nomenclature!$D$5="V",Nomenclature!$H$5="4",Nomenclature!$H$5="5"),"","ZA9125005")</f>
        <v>ZA9125005</v>
      </c>
      <c r="G50" s="33"/>
      <c r="H50" s="162" t="str">
        <f>IF(Nomenclature!$H$5="1",3,IF(AND(Lookup!$C$1=2,Nomenclature!H5="2"),2,IF(OR(Nomenclature!$D$5="V",Nomenclature!$H$5="4",Nomenclature!$H$5="5"),"","?")))</f>
        <v>?</v>
      </c>
    </row>
    <row r="51" spans="1:8" ht="14.25">
      <c r="A51" s="3"/>
      <c r="B51" s="4"/>
      <c r="C51" s="4"/>
      <c r="D51" s="159" t="str">
        <f>IF(Nomenclature!$G$5="*","???",IF(Nomenclature!$G$5="3","059",""))</f>
        <v>???</v>
      </c>
      <c r="E51" s="160" t="str">
        <f>IF(Nomenclature!$G$5="*","?",IF(Nomenclature!$G$5="3","Lead Assembly",""))</f>
        <v>?</v>
      </c>
      <c r="F51" s="161" t="str">
        <f>IF(Nomenclature!$G$5="*","?",IF(Nomenclature!$G$5="3","ZA9331001",""))</f>
        <v>?</v>
      </c>
      <c r="G51" s="33"/>
      <c r="H51" s="162" t="str">
        <f>IF(Nomenclature!$G$5="*","?",IF(Nomenclature!$G$5="3",4,""))</f>
        <v>?</v>
      </c>
    </row>
    <row r="52" spans="1:8" ht="14.25">
      <c r="A52" s="3"/>
      <c r="B52" s="4"/>
      <c r="C52" s="4"/>
      <c r="D52" s="159" t="str">
        <f>IF(Nomenclature!$G$5="*","???",IF(Nomenclature!$G$5="3","058",""))</f>
        <v>???</v>
      </c>
      <c r="E52" s="160" t="str">
        <f>IF(Nomenclature!$G$5="*","?",IF(Nomenclature!$G$5="3","Lead Assembly",""))</f>
        <v>?</v>
      </c>
      <c r="F52" s="161" t="str">
        <f>IF(Nomenclature!$G$5="*","?",IF(Nomenclature!$G$5="3","ZA9331002",""))</f>
        <v>?</v>
      </c>
      <c r="G52" s="33"/>
      <c r="H52" s="162" t="str">
        <f>IF(Nomenclature!$G$5="*","?",IF(Nomenclature!$G$5="3",12,""))</f>
        <v>?</v>
      </c>
    </row>
    <row r="53" spans="1:8" ht="14.25">
      <c r="A53" s="3"/>
      <c r="B53" s="4"/>
      <c r="C53" s="4"/>
      <c r="D53" s="159" t="str">
        <f>IF(Nomenclature!$G$5="*","???",IF(Nomenclature!$G$5="3","060",""))</f>
        <v>???</v>
      </c>
      <c r="E53" s="160" t="str">
        <f>IF(Nomenclature!$G$5="*","?",IF(Nomenclature!$G$5="3","Lead Assembly",""))</f>
        <v>?</v>
      </c>
      <c r="F53" s="161" t="str">
        <f>IF(Nomenclature!$G$5="*","?",IF(Nomenclature!$G$5="3","ZA9331003",""))</f>
        <v>?</v>
      </c>
      <c r="G53" s="33"/>
      <c r="H53" s="162" t="str">
        <f>IF(Nomenclature!$G$5="*","?",IF(Nomenclature!$G$5="3",2,""))</f>
        <v>?</v>
      </c>
    </row>
    <row r="54" spans="1:8" ht="14.25">
      <c r="A54" s="3"/>
      <c r="B54" s="4"/>
      <c r="C54" s="4"/>
      <c r="D54" s="159" t="str">
        <f>IF(Nomenclature!$G$5="*","???",IF(Nomenclature!$G$5="3","055",""))</f>
        <v>???</v>
      </c>
      <c r="E54" s="160" t="str">
        <f>IF(Nomenclature!$G$5="*","?",IF(Nomenclature!$G$5="3","4BA Spring Washer",""))</f>
        <v>?</v>
      </c>
      <c r="F54" s="161" t="str">
        <f>IF(Nomenclature!$G$5="*","?",IF(Nomenclature!$G$5="3",HLOOKUP(Lookup!$B$533,Lookup!$E$532:$F$535,3,TRUE),""))</f>
        <v>?</v>
      </c>
      <c r="G54" s="33"/>
      <c r="H54" s="162" t="str">
        <f>IF(Nomenclature!$G$5="*","?",IF(Nomenclature!$G$5="3",2,""))</f>
        <v>?</v>
      </c>
    </row>
    <row r="55" spans="1:8" ht="14.25">
      <c r="A55" s="3"/>
      <c r="B55" s="4"/>
      <c r="C55" s="4"/>
      <c r="D55" s="159" t="str">
        <f>IF(Nomenclature!$G$5="*","???",IF(Nomenclature!$G$5="3","056",""))</f>
        <v>???</v>
      </c>
      <c r="E55" s="160" t="str">
        <f>IF(Nomenclature!$G$5="*","?",IF(Nomenclature!$G$5="3","4BA Nut",""))</f>
        <v>?</v>
      </c>
      <c r="F55" s="161" t="str">
        <f>IF(Nomenclature!$G$5="*","?",IF(Nomenclature!$G$5="3",HLOOKUP(Lookup!$B$533,Lookup!$E$532:$F$535,4,TRUE),""))</f>
        <v>?</v>
      </c>
      <c r="G55" s="33"/>
      <c r="H55" s="162" t="str">
        <f>IF(Nomenclature!$G$5="*","?",IF(Nomenclature!$G$5="3",2,""))</f>
        <v>?</v>
      </c>
    </row>
    <row r="56" spans="1:8" ht="14.25">
      <c r="A56" s="3"/>
      <c r="B56" s="4"/>
      <c r="C56" s="4"/>
      <c r="D56" s="159" t="str">
        <f>IF(Nomenclature!$G$5="*","???",IF(Nomenclature!$G$5="3","038",""))</f>
        <v>???</v>
      </c>
      <c r="E56" s="160" t="str">
        <f>IF(Nomenclature!$G$5="*","?",IF(Nomenclature!$G$5="3","Terminal Block",""))</f>
        <v>?</v>
      </c>
      <c r="F56" s="161" t="str">
        <f>IF(Nomenclature!$G$5="*","?",IF(Nomenclature!$G$5="3","ZB9112461",""))</f>
        <v>?</v>
      </c>
      <c r="G56" s="33"/>
      <c r="H56" s="162" t="str">
        <f>IF(Nomenclature!$G$5="*","?",IF(Nomenclature!$G$5="3",1,""))</f>
        <v>?</v>
      </c>
    </row>
    <row r="57" spans="1:8" ht="14.25">
      <c r="A57" s="3"/>
      <c r="B57" s="4"/>
      <c r="C57" s="4"/>
      <c r="D57" s="115">
        <v>43</v>
      </c>
      <c r="E57" s="13" t="s">
        <v>557</v>
      </c>
      <c r="F57" s="15" t="s">
        <v>558</v>
      </c>
      <c r="G57" s="33"/>
      <c r="H57" s="162" t="str">
        <f>IF(Nomenclature!$D$5="V",12,IF(OR(Nomenclature!$K$5="D",Nomenclature!$K$5="L"),3,IF(OR(Nomenclature!$K$5="F",Nomenclature!$K$5="N"),6,IF(OR(Nomenclature!$K$5="H",Nomenclature!$K$5="P"),9,"?"))))</f>
        <v>?</v>
      </c>
    </row>
    <row r="58" spans="1:8" ht="14.25">
      <c r="A58" s="3"/>
      <c r="B58" s="4"/>
      <c r="C58" s="4"/>
      <c r="D58" s="115">
        <v>46</v>
      </c>
      <c r="E58" s="24" t="s">
        <v>559</v>
      </c>
      <c r="F58" s="161" t="str">
        <f>IF(Lookup!$C$195="K*******","ZB959805?",VLOOKUP(Lookup!$C$195,Lookup!$D$196:$P$213,13))</f>
        <v>ZB959805?</v>
      </c>
      <c r="G58" s="15"/>
      <c r="H58" s="10">
        <v>1</v>
      </c>
    </row>
    <row r="59" spans="1:8" ht="14.25">
      <c r="A59" s="3"/>
      <c r="B59" s="4"/>
      <c r="C59" s="4"/>
      <c r="D59" s="115">
        <v>32</v>
      </c>
      <c r="E59" s="160" t="str">
        <f>IF(Lookup!C1=3,"Assembly CTs &amp; VTs",IF(Lookup!C1=4,"Tray Assembly",IF(OR(Nomenclature!$K$5="D",Nomenclature!$K$5="L"),"Tray Assembly",IF(OR(Nomenclature!$K$5="F",Nomenclature!$K$5="H",Nomenclature!$K$5="N",Nomenclature!$K$5="P"),"Assembly Tray 1","?"))))</f>
        <v>?</v>
      </c>
      <c r="F59" s="161" t="str">
        <f>IF(Nomenclature!$H$5="*","ZC0411???",VLOOKUP(Lookup!$C$450,Lookup!$D$379:$E$449,2,FALSE))</f>
        <v>ZC0411???</v>
      </c>
      <c r="G59" s="33"/>
      <c r="H59" s="31">
        <v>1</v>
      </c>
    </row>
    <row r="60" spans="1:8" ht="14.25">
      <c r="A60" s="3"/>
      <c r="B60" s="4"/>
      <c r="C60" s="4"/>
      <c r="D60" s="159" t="str">
        <f>IF(OR(Nomenclature!$D$5="V",Nomenclature!$K$5="D",Nomenclature!$K$5="L"),"",IF(OR(Nomenclature!$K$5="F",Nomenclature!$K$5="H",Nomenclature!$K$5="N",Nomenclature!$K$5="P"),33,"??"))</f>
        <v>??</v>
      </c>
      <c r="E60" s="160" t="str">
        <f>IF(OR(Nomenclature!$D$5="V",Nomenclature!$K$5="D",Nomenclature!$K$5="L"),"",IF(OR(Nomenclature!$K$5="F",Nomenclature!$K$5="H",Nomenclature!$K$5="N",Nomenclature!$K$5="P"),"Assembly Tray 2","?"))</f>
        <v>?</v>
      </c>
      <c r="F60" s="161" t="str">
        <f>IF(OR(Nomenclature!$D$5="V",Nomenclature!$K$5="D",Nomenclature!$K$5="L"),"",IF(Nomenclature!$H$5="*","ZC0411???",VLOOKUP(Lookup!$C$502,Lookup!$D$457:$E$501,2,FALSE)))</f>
        <v>ZC0411???</v>
      </c>
      <c r="G60" s="33"/>
      <c r="H60" s="162" t="str">
        <f>IF(OR(Nomenclature!$D$5="V",Nomenclature!$K$5="D",Nomenclature!$K$5="L"),"",IF(OR(Nomenclature!$K$5="F",Nomenclature!$K$5="H",Nomenclature!$K$5="N",Nomenclature!$K$5="P"),1,"?"))</f>
        <v>?</v>
      </c>
    </row>
    <row r="61" spans="1:8" ht="14.25">
      <c r="A61" s="3"/>
      <c r="B61" s="4"/>
      <c r="C61" s="4"/>
      <c r="D61" s="159" t="str">
        <f>IF(OR(Nomenclature!$K$5="D",Nomenclature!$K$5="F",Nomenclature!$K$5="L",Nomenclature!$K$5="N",Lookup!$C$44="KCGG24",Lookup!$C$44="KCGG33",Lookup!$C$44="KCGG34"),"",IF(OR(Nomenclature!$K$5="H",Nomenclature!$K$5="P"),34,"??"))</f>
        <v>??</v>
      </c>
      <c r="E61" s="160" t="str">
        <f>IF(OR(Nomenclature!$K$5="D",Nomenclature!$K$5="F",Nomenclature!$K$5="L",Nomenclature!$K$5="N",Lookup!$C$44="KCGG24",Lookup!$C$44="KCGG33",Lookup!$C$44="KCGG34"),"",IF(OR(Nomenclature!$K$5="H",Nomenclature!$K$5="P"),"Assembly Tray 3","?"))</f>
        <v>?</v>
      </c>
      <c r="F61" s="161" t="str">
        <f>IF(Nomenclature!$H$5="*","ZC0411???",IF(OR(Nomenclature!$K$5="D",Nomenclature!$K$5="F",Nomenclature!$K$5="L",Nomenclature!$K$5="N",Lookup!$C$44="KCGG24",Lookup!$C$44="KCGG33",Lookup!$C$44="KCGG34"),"",VLOOKUP(Lookup!$C$530,Lookup!$D$510:$E$529,2,FALSE)))</f>
        <v>ZC0411???</v>
      </c>
      <c r="G61" s="33"/>
      <c r="H61" s="162" t="str">
        <f>IF(OR(Nomenclature!$K$5="D",Nomenclature!$K$5="F",Nomenclature!$K$5="L",Nomenclature!$K$5="N",Lookup!$C$44="KCGG24",Lookup!$C$44="KCGG33",Lookup!$C$44="KCGG34"),"",IF(OR(Nomenclature!$K$5="H",Nomenclature!$K$5="P"),1,"?"))</f>
        <v>?</v>
      </c>
    </row>
    <row r="62" spans="1:10" ht="14.25">
      <c r="A62" s="3"/>
      <c r="B62" s="4"/>
      <c r="C62" s="4"/>
      <c r="D62" s="159" t="str">
        <f>IF(Nomenclature!$G$5="*","???",IF(Nomenclature!$G$5="3","054",""))</f>
        <v>???</v>
      </c>
      <c r="E62" s="160" t="str">
        <f>IF(Nomenclature!$G$5="*","?",IF(Nomenclature!$G$5="3","4BA Ch Hd Screw",""))</f>
        <v>?</v>
      </c>
      <c r="F62" s="161" t="str">
        <f>IF(Nomenclature!$G$5="*","?",IF(Nomenclature!$G$5="3",HLOOKUP(Lookup!$B$533,Lookup!$E$532:$F$535,2,TRUE),""))</f>
        <v>?</v>
      </c>
      <c r="G62" s="33"/>
      <c r="H62" s="162" t="str">
        <f>IF(Nomenclature!$G$5="*","?",IF(Nomenclature!$G$5="3",2,""))</f>
        <v>?</v>
      </c>
      <c r="J62" s="161"/>
    </row>
    <row r="63" spans="1:8" ht="14.25">
      <c r="A63" s="3"/>
      <c r="B63" s="4"/>
      <c r="C63" s="4"/>
      <c r="D63" s="115">
        <v>25</v>
      </c>
      <c r="E63" s="13" t="s">
        <v>552</v>
      </c>
      <c r="F63" s="161" t="str">
        <f>IF(Nomenclature!$H$5="*","ZJ0??????",VLOOKUP(Lookup!$B$282,Lookup!$D$282:$F$364,2))</f>
        <v>ZJ0??????</v>
      </c>
      <c r="G63" s="161" t="str">
        <f>IF(Nomenclature!$H$5="*","?",VLOOKUP(Lookup!$B$282,Lookup!$D$282:$F$364,3))</f>
        <v>?</v>
      </c>
      <c r="H63" s="31">
        <v>1</v>
      </c>
    </row>
    <row r="64" spans="1:8" ht="14.25">
      <c r="A64" s="3"/>
      <c r="B64" s="4"/>
      <c r="C64" s="4"/>
      <c r="D64" s="279">
        <f>IF(Lookup!$C$195="K*******",26,IF(F64="","",26))</f>
        <v>26</v>
      </c>
      <c r="E64" s="280" t="str">
        <f>IF(Lookup!$C$195="K*******","Auxiliary PCB",IF($F$64="","","Auxiliary PCB"))</f>
        <v>Auxiliary PCB</v>
      </c>
      <c r="F64" s="268" t="str">
        <f>IF(Lookup!$C$195="K*******","ZJ03?????",IF(OR(Lookup!$C$262=Lookup!$D$263,Lookup!$C$262=Lookup!$D$264,Lookup!$C$262=Lookup!$D$265,Lookup!$C$262=Lookup!$D$266,Lookup!$C$262=Lookup!$D$267,Lookup!$C$262=Lookup!$D$268,Lookup!$C$262=Lookup!$D$270,Lookup!$C$262=Lookup!$D$272),VLOOKUP(Lookup!$C$262,Lookup!$D$263:$G$272,2),""))</f>
        <v>ZJ03?????</v>
      </c>
      <c r="G64" s="268" t="str">
        <f>IF(Lookup!$C$195="K*******","?",IF(OR(Lookup!$C$262=Lookup!$D$263,Lookup!$C$262=Lookup!$D$264,Lookup!$C$262=Lookup!$D$265,Lookup!$C$262=Lookup!$D$266,Lookup!$C$262=Lookup!$D$267,Lookup!$C$262=Lookup!$D$268,Lookup!$C$262=Lookup!$D$270,Lookup!$C$262=Lookup!$D$272),VLOOKUP(Lookup!$C$262,Lookup!$D$263:$G$272,3),""))</f>
        <v>?</v>
      </c>
      <c r="H64" s="281" t="str">
        <f>IF(Lookup!$C$195="K*******","?",IF($F$64="","",1))</f>
        <v>?</v>
      </c>
    </row>
    <row r="65" spans="1:8" ht="14.25">
      <c r="A65" s="3"/>
      <c r="B65" s="4"/>
      <c r="C65" s="4"/>
      <c r="D65" s="115">
        <v>27</v>
      </c>
      <c r="E65" s="24" t="s">
        <v>553</v>
      </c>
      <c r="F65" s="161" t="str">
        <f>IF(Nomenclature!$L$5="2","ZJ0283001",IF(Nomenclature!$L$5="5","ZJ0283002",IF(Nomenclature!$L$5="9","ZJ0283003","ZJ0283???")))</f>
        <v>ZJ0283???</v>
      </c>
      <c r="G65" s="161" t="str">
        <f>IF(Nomenclature!$L$5="2","B",IF(Nomenclature!$L$5="5","B",IF(Nomenclature!$L$5="9","B","?")))</f>
        <v>?</v>
      </c>
      <c r="H65" s="10">
        <v>1</v>
      </c>
    </row>
    <row r="66" spans="1:8" ht="14.25">
      <c r="A66" s="3"/>
      <c r="B66" s="4"/>
      <c r="C66" s="4"/>
      <c r="D66" s="115">
        <v>28</v>
      </c>
      <c r="E66" s="24" t="s">
        <v>554</v>
      </c>
      <c r="F66" s="15" t="s">
        <v>252</v>
      </c>
      <c r="G66" s="15" t="s">
        <v>352</v>
      </c>
      <c r="H66" s="10">
        <v>1</v>
      </c>
    </row>
    <row r="67" spans="1:8" ht="14.25">
      <c r="A67" s="3"/>
      <c r="B67" s="4"/>
      <c r="C67" s="4"/>
      <c r="D67" s="115">
        <v>29</v>
      </c>
      <c r="E67" s="24" t="s">
        <v>555</v>
      </c>
      <c r="F67" s="161" t="str">
        <f>IF(Lookup!$B$282="K*********","ZJ0??????",VLOOKUP(Lookup!$B$282,Lookup!$D$282:$H$364,4))</f>
        <v>ZJ0??????</v>
      </c>
      <c r="G67" s="161" t="str">
        <f>IF(Lookup!$B$282="K*********","?",VLOOKUP(Lookup!$B$282,Lookup!$D$282:$H$364,5))</f>
        <v>?</v>
      </c>
      <c r="H67" s="10">
        <v>1</v>
      </c>
    </row>
    <row r="68" spans="1:8" ht="14.25">
      <c r="A68" s="3"/>
      <c r="B68" s="4"/>
      <c r="C68" s="4"/>
      <c r="D68" s="115">
        <v>30</v>
      </c>
      <c r="E68" s="24" t="s">
        <v>556</v>
      </c>
      <c r="F68" s="161" t="str">
        <f>IF(AND(Lookup!$C$1&lt;4,Nomenclature!$K$5="D"),"ZJ0284001",IF(AND(Lookup!$C$1&lt;4,Nomenclature!$K$5="L"),"ZJ0284001",IF(AND(Lookup!$C$1=4,Nomenclature!$K$5="D"),"ZJ0284002",IF(AND(Lookup!$C$1=4,Nomenclature!$K$5="L"),"ZJ0284002",IF(Lookup!$B$168="KVGC202","ZJ0412001",IF(OR(Nomenclature!$K$5="F",Nomenclature!$K$5="N"),"ZJ0285001",IF(OR(Nomenclature!$K$5="H",Nomenclature!$K$5="P"),"ZJ0286001","ZJ028????")))))))</f>
        <v>ZJ028????</v>
      </c>
      <c r="G68" s="161" t="str">
        <f>IF(OR(Nomenclature!$K$5="D",Nomenclature!$K$5="F",Nomenclature!$K$5="H",Nomenclature!$K$5="L",Nomenclature!$K$5="N",Nomenclature!$K$5="P"),"A","?")</f>
        <v>?</v>
      </c>
      <c r="H68" s="10">
        <v>1</v>
      </c>
    </row>
    <row r="69" spans="1:8" ht="14.25">
      <c r="A69" s="6"/>
      <c r="B69" s="7"/>
      <c r="C69" s="7"/>
      <c r="D69" s="29"/>
      <c r="E69" s="49"/>
      <c r="F69" s="50"/>
      <c r="G69" s="50"/>
      <c r="H69" s="9"/>
    </row>
    <row r="70" spans="1:8" ht="14.25">
      <c r="A70" s="35"/>
      <c r="B70" s="80" t="s">
        <v>508</v>
      </c>
      <c r="C70" s="39" t="s">
        <v>105</v>
      </c>
      <c r="D70" s="102"/>
      <c r="E70" s="321" t="s">
        <v>106</v>
      </c>
      <c r="F70" s="102" t="s">
        <v>107</v>
      </c>
      <c r="G70" s="55"/>
      <c r="H70" s="60"/>
    </row>
    <row r="71" spans="1:8" ht="14.25">
      <c r="A71" s="3"/>
      <c r="B71" s="161" t="str">
        <f>IF(Nomenclature!$G$5="*","?",IF(Nomenclature!$G$5="3","001",""))</f>
        <v>?</v>
      </c>
      <c r="C71" s="163" t="str">
        <f>IF(Nomenclature!$G$5="*","?",IF(Nomenclature!$G$5="3","FB0247490",""))</f>
        <v>?</v>
      </c>
      <c r="D71" s="322"/>
      <c r="E71" s="325" t="str">
        <f>IF(Nomenclature!$G$5="*","?",IF(Nomenclature!$G$5="3","396002.041 A1",""))</f>
        <v>?</v>
      </c>
      <c r="F71" s="323"/>
      <c r="G71" s="324"/>
      <c r="H71" s="326" t="str">
        <f>IF(Nomenclature!$G$5="*","?",IF(Nomenclature!$G$5="3","1",""))</f>
        <v>?</v>
      </c>
    </row>
    <row r="72" spans="1:8" ht="14.25">
      <c r="A72" s="6"/>
      <c r="B72" s="7"/>
      <c r="C72" s="7"/>
      <c r="D72" s="29"/>
      <c r="E72" s="49"/>
      <c r="F72" s="50"/>
      <c r="G72" s="50"/>
      <c r="H72" s="9"/>
    </row>
    <row r="73" spans="1:8" ht="15">
      <c r="A73" s="61" t="s">
        <v>560</v>
      </c>
      <c r="B73" s="18"/>
      <c r="C73" s="18"/>
      <c r="D73" s="25"/>
      <c r="E73" s="51"/>
      <c r="F73" s="52"/>
      <c r="G73" s="52"/>
      <c r="H73" s="26"/>
    </row>
    <row r="74" spans="1:8" ht="14.25">
      <c r="A74" s="3" t="s">
        <v>561</v>
      </c>
      <c r="B74" s="4"/>
      <c r="C74" s="4"/>
      <c r="D74" s="14"/>
      <c r="E74" s="24"/>
      <c r="F74" s="15"/>
      <c r="G74" s="15"/>
      <c r="H74" s="10"/>
    </row>
    <row r="75" spans="1:8" ht="14.25">
      <c r="A75" s="3" t="s">
        <v>562</v>
      </c>
      <c r="B75" s="4"/>
      <c r="C75" s="4"/>
      <c r="D75" s="14"/>
      <c r="E75" s="24"/>
      <c r="F75" s="15"/>
      <c r="G75" s="15"/>
      <c r="H75" s="10"/>
    </row>
    <row r="76" spans="1:8" ht="14.25">
      <c r="A76" s="3" t="s">
        <v>563</v>
      </c>
      <c r="B76" s="4"/>
      <c r="C76" s="4"/>
      <c r="D76" s="14"/>
      <c r="E76" s="24"/>
      <c r="F76" s="15"/>
      <c r="G76" s="15"/>
      <c r="H76" s="10"/>
    </row>
    <row r="77" spans="1:8" ht="14.25">
      <c r="A77" s="3" t="s">
        <v>564</v>
      </c>
      <c r="B77" s="4"/>
      <c r="C77" s="4"/>
      <c r="D77" s="14"/>
      <c r="E77" s="24"/>
      <c r="F77" s="15"/>
      <c r="G77" s="15"/>
      <c r="H77" s="10"/>
    </row>
    <row r="78" spans="1:8" ht="14.25">
      <c r="A78" s="3" t="s">
        <v>565</v>
      </c>
      <c r="B78" s="4"/>
      <c r="C78" s="4"/>
      <c r="D78" s="14"/>
      <c r="E78" s="24"/>
      <c r="F78" s="15"/>
      <c r="G78" s="15"/>
      <c r="H78" s="10"/>
    </row>
    <row r="79" spans="1:8" ht="14.25">
      <c r="A79" s="3" t="s">
        <v>566</v>
      </c>
      <c r="B79" s="4"/>
      <c r="C79" s="4"/>
      <c r="D79" s="14"/>
      <c r="E79" s="24"/>
      <c r="F79" s="15"/>
      <c r="G79" s="15"/>
      <c r="H79" s="10"/>
    </row>
    <row r="80" spans="1:8" ht="14.25">
      <c r="A80" s="3" t="s">
        <v>567</v>
      </c>
      <c r="B80" s="4"/>
      <c r="C80" s="4"/>
      <c r="D80" s="14"/>
      <c r="E80" s="24"/>
      <c r="F80" s="15"/>
      <c r="G80" s="15"/>
      <c r="H80" s="10"/>
    </row>
    <row r="81" spans="1:8" ht="14.25">
      <c r="A81" s="3" t="s">
        <v>568</v>
      </c>
      <c r="B81" s="4"/>
      <c r="C81" s="4"/>
      <c r="D81" s="14"/>
      <c r="E81" s="24"/>
      <c r="F81" s="15"/>
      <c r="G81" s="15"/>
      <c r="H81" s="10"/>
    </row>
    <row r="82" spans="1:8" ht="14.25">
      <c r="A82" s="3" t="s">
        <v>569</v>
      </c>
      <c r="B82" s="4"/>
      <c r="C82" s="4"/>
      <c r="D82" s="14"/>
      <c r="E82" s="24"/>
      <c r="F82" s="15"/>
      <c r="G82" s="15"/>
      <c r="H82" s="10"/>
    </row>
    <row r="83" spans="1:8" s="263" customFormat="1" ht="15">
      <c r="A83" s="62" t="s">
        <v>570</v>
      </c>
      <c r="B83" s="260"/>
      <c r="C83" s="260"/>
      <c r="D83" s="261"/>
      <c r="E83" s="260"/>
      <c r="F83" s="16"/>
      <c r="G83" s="16"/>
      <c r="H83" s="262"/>
    </row>
    <row r="84" spans="1:8" s="263" customFormat="1" ht="15">
      <c r="A84" s="62" t="s">
        <v>571</v>
      </c>
      <c r="B84" s="260"/>
      <c r="C84" s="260"/>
      <c r="D84" s="261"/>
      <c r="E84" s="260"/>
      <c r="F84" s="16"/>
      <c r="G84" s="16"/>
      <c r="H84" s="262"/>
    </row>
    <row r="85" spans="1:8" s="263" customFormat="1" ht="15">
      <c r="A85" s="62" t="s">
        <v>572</v>
      </c>
      <c r="B85" s="260"/>
      <c r="C85" s="260"/>
      <c r="D85" s="261"/>
      <c r="E85" s="260"/>
      <c r="F85" s="16"/>
      <c r="G85" s="16"/>
      <c r="H85" s="262"/>
    </row>
    <row r="86" spans="1:8" s="263" customFormat="1" ht="15">
      <c r="A86" s="62" t="s">
        <v>573</v>
      </c>
      <c r="B86" s="260"/>
      <c r="C86" s="260"/>
      <c r="D86" s="261"/>
      <c r="E86" s="260"/>
      <c r="F86" s="16"/>
      <c r="G86" s="16"/>
      <c r="H86" s="262"/>
    </row>
    <row r="87" spans="1:8" s="263" customFormat="1" ht="15">
      <c r="A87" s="62" t="s">
        <v>577</v>
      </c>
      <c r="B87" s="260"/>
      <c r="C87" s="260"/>
      <c r="D87" s="261"/>
      <c r="E87" s="260"/>
      <c r="F87" s="16"/>
      <c r="G87" s="16"/>
      <c r="H87" s="262"/>
    </row>
    <row r="88" spans="1:8" s="263" customFormat="1" ht="15">
      <c r="A88" s="62"/>
      <c r="B88" s="70" t="s">
        <v>578</v>
      </c>
      <c r="C88" s="260"/>
      <c r="D88" s="261"/>
      <c r="E88" s="260"/>
      <c r="F88" s="16"/>
      <c r="G88" s="16"/>
      <c r="H88" s="262"/>
    </row>
    <row r="89" spans="1:8" s="263" customFormat="1" ht="15">
      <c r="A89" s="62" t="s">
        <v>579</v>
      </c>
      <c r="B89" s="260"/>
      <c r="C89" s="260"/>
      <c r="D89" s="261"/>
      <c r="E89" s="260"/>
      <c r="F89" s="16"/>
      <c r="G89" s="16"/>
      <c r="H89" s="262"/>
    </row>
    <row r="90" spans="1:8" s="263" customFormat="1" ht="15">
      <c r="A90" s="62" t="s">
        <v>580</v>
      </c>
      <c r="B90" s="260"/>
      <c r="C90" s="260"/>
      <c r="D90" s="261"/>
      <c r="E90" s="260"/>
      <c r="F90" s="16"/>
      <c r="G90" s="16"/>
      <c r="H90" s="262"/>
    </row>
    <row r="91" spans="1:8" s="263" customFormat="1" ht="15">
      <c r="A91" s="62" t="s">
        <v>581</v>
      </c>
      <c r="B91" s="260"/>
      <c r="C91" s="260"/>
      <c r="D91" s="261"/>
      <c r="E91" s="260"/>
      <c r="F91" s="16"/>
      <c r="G91" s="16"/>
      <c r="H91" s="262"/>
    </row>
    <row r="92" spans="1:8" s="263" customFormat="1" ht="15">
      <c r="A92" s="62" t="s">
        <v>582</v>
      </c>
      <c r="B92" s="260"/>
      <c r="C92" s="260"/>
      <c r="D92" s="261"/>
      <c r="E92" s="260"/>
      <c r="F92" s="16"/>
      <c r="G92" s="16"/>
      <c r="H92" s="262"/>
    </row>
    <row r="93" spans="1:8" s="263" customFormat="1" ht="15">
      <c r="A93" s="62" t="s">
        <v>583</v>
      </c>
      <c r="B93" s="260"/>
      <c r="C93" s="260"/>
      <c r="D93" s="261"/>
      <c r="E93" s="260"/>
      <c r="F93" s="16"/>
      <c r="G93" s="16"/>
      <c r="H93" s="262"/>
    </row>
    <row r="94" spans="1:8" s="263" customFormat="1" ht="15">
      <c r="A94" s="62" t="s">
        <v>584</v>
      </c>
      <c r="B94" s="260"/>
      <c r="C94" s="260"/>
      <c r="D94" s="261"/>
      <c r="E94" s="260"/>
      <c r="F94" s="16"/>
      <c r="G94" s="16"/>
      <c r="H94" s="262"/>
    </row>
    <row r="95" spans="1:8" s="263" customFormat="1" ht="15">
      <c r="A95" s="62" t="s">
        <v>585</v>
      </c>
      <c r="B95" s="260"/>
      <c r="C95" s="260"/>
      <c r="D95" s="261"/>
      <c r="E95" s="260"/>
      <c r="F95" s="16"/>
      <c r="G95" s="16"/>
      <c r="H95" s="262"/>
    </row>
    <row r="96" spans="1:8" s="263" customFormat="1" ht="15">
      <c r="A96" s="62" t="s">
        <v>586</v>
      </c>
      <c r="B96" s="260"/>
      <c r="C96" s="260"/>
      <c r="D96" s="261"/>
      <c r="E96" s="260"/>
      <c r="F96" s="16"/>
      <c r="G96" s="16"/>
      <c r="H96" s="262"/>
    </row>
    <row r="97" spans="1:8" s="263" customFormat="1" ht="15">
      <c r="A97" s="62" t="s">
        <v>587</v>
      </c>
      <c r="B97" s="260"/>
      <c r="C97" s="260"/>
      <c r="D97" s="261"/>
      <c r="E97" s="260"/>
      <c r="F97" s="16"/>
      <c r="G97" s="16"/>
      <c r="H97" s="262"/>
    </row>
    <row r="98" spans="1:8" s="263" customFormat="1" ht="15">
      <c r="A98" s="62" t="s">
        <v>588</v>
      </c>
      <c r="B98" s="260"/>
      <c r="C98" s="260"/>
      <c r="D98" s="261"/>
      <c r="E98" s="260"/>
      <c r="F98" s="16"/>
      <c r="G98" s="16"/>
      <c r="H98" s="262"/>
    </row>
    <row r="99" spans="1:8" s="263" customFormat="1" ht="15">
      <c r="A99" s="62" t="s">
        <v>589</v>
      </c>
      <c r="B99" s="260"/>
      <c r="C99" s="260"/>
      <c r="D99" s="261"/>
      <c r="E99" s="260"/>
      <c r="F99" s="16"/>
      <c r="G99" s="16"/>
      <c r="H99" s="262"/>
    </row>
    <row r="100" spans="1:8" s="263" customFormat="1" ht="15">
      <c r="A100" s="62" t="s">
        <v>590</v>
      </c>
      <c r="B100" s="260"/>
      <c r="C100" s="260"/>
      <c r="D100" s="261"/>
      <c r="E100" s="260"/>
      <c r="F100" s="16"/>
      <c r="G100" s="16"/>
      <c r="H100" s="262"/>
    </row>
    <row r="101" spans="1:8" s="263" customFormat="1" ht="15">
      <c r="A101" s="62" t="s">
        <v>591</v>
      </c>
      <c r="B101" s="260"/>
      <c r="C101" s="260"/>
      <c r="D101" s="261"/>
      <c r="E101" s="260"/>
      <c r="F101" s="16"/>
      <c r="G101" s="16"/>
      <c r="H101" s="262"/>
    </row>
    <row r="102" spans="1:8" s="263" customFormat="1" ht="15">
      <c r="A102" s="62"/>
      <c r="B102" s="70" t="s">
        <v>592</v>
      </c>
      <c r="C102" s="260"/>
      <c r="D102" s="261"/>
      <c r="E102" s="260"/>
      <c r="F102" s="16"/>
      <c r="G102" s="16"/>
      <c r="H102" s="262"/>
    </row>
    <row r="103" spans="1:8" s="263" customFormat="1" ht="15">
      <c r="A103" s="62" t="s">
        <v>593</v>
      </c>
      <c r="B103" s="260"/>
      <c r="C103" s="260"/>
      <c r="D103" s="261"/>
      <c r="E103" s="260"/>
      <c r="F103" s="16"/>
      <c r="G103" s="16"/>
      <c r="H103" s="262"/>
    </row>
    <row r="104" spans="1:8" s="263" customFormat="1" ht="15">
      <c r="A104" s="62" t="s">
        <v>594</v>
      </c>
      <c r="B104" s="260"/>
      <c r="C104" s="260"/>
      <c r="D104" s="261"/>
      <c r="E104" s="260"/>
      <c r="F104" s="16"/>
      <c r="G104" s="16"/>
      <c r="H104" s="262"/>
    </row>
    <row r="105" spans="1:8" s="263" customFormat="1" ht="15">
      <c r="A105" s="62" t="s">
        <v>595</v>
      </c>
      <c r="B105" s="260"/>
      <c r="C105" s="260"/>
      <c r="D105" s="261"/>
      <c r="E105" s="260"/>
      <c r="F105" s="16"/>
      <c r="G105" s="16"/>
      <c r="H105" s="262"/>
    </row>
    <row r="106" spans="1:8" s="263" customFormat="1" ht="15">
      <c r="A106" s="62" t="s">
        <v>596</v>
      </c>
      <c r="B106" s="260"/>
      <c r="C106" s="260"/>
      <c r="D106" s="261"/>
      <c r="E106" s="260"/>
      <c r="F106" s="16"/>
      <c r="G106" s="16"/>
      <c r="H106" s="262"/>
    </row>
    <row r="107" spans="1:8" s="263" customFormat="1" ht="15">
      <c r="A107" s="62" t="s">
        <v>597</v>
      </c>
      <c r="B107" s="260"/>
      <c r="C107" s="260"/>
      <c r="D107" s="261"/>
      <c r="E107" s="260"/>
      <c r="F107" s="16"/>
      <c r="G107" s="16"/>
      <c r="H107" s="262"/>
    </row>
    <row r="108" spans="1:8" s="263" customFormat="1" ht="15">
      <c r="A108" s="62" t="s">
        <v>598</v>
      </c>
      <c r="B108" s="260"/>
      <c r="C108" s="260"/>
      <c r="D108" s="261"/>
      <c r="E108" s="260"/>
      <c r="F108" s="16"/>
      <c r="G108" s="16"/>
      <c r="H108" s="262"/>
    </row>
    <row r="109" spans="1:8" s="263" customFormat="1" ht="15">
      <c r="A109" s="62" t="s">
        <v>599</v>
      </c>
      <c r="B109" s="260"/>
      <c r="C109" s="260"/>
      <c r="D109" s="261"/>
      <c r="E109" s="260"/>
      <c r="F109" s="16"/>
      <c r="G109" s="16"/>
      <c r="H109" s="262"/>
    </row>
    <row r="110" spans="1:8" s="263" customFormat="1" ht="15">
      <c r="A110" s="62"/>
      <c r="B110" s="70" t="s">
        <v>600</v>
      </c>
      <c r="C110" s="260"/>
      <c r="D110" s="261"/>
      <c r="E110" s="260"/>
      <c r="F110" s="16"/>
      <c r="G110" s="16"/>
      <c r="H110" s="262"/>
    </row>
    <row r="111" spans="1:8" s="263" customFormat="1" ht="15">
      <c r="A111" s="62" t="s">
        <v>601</v>
      </c>
      <c r="B111" s="70"/>
      <c r="C111" s="260"/>
      <c r="D111" s="261"/>
      <c r="E111" s="260"/>
      <c r="F111" s="16"/>
      <c r="G111" s="16"/>
      <c r="H111" s="262"/>
    </row>
    <row r="112" spans="1:8" s="263" customFormat="1" ht="15">
      <c r="A112" s="62" t="s">
        <v>602</v>
      </c>
      <c r="B112" s="70"/>
      <c r="C112" s="260"/>
      <c r="D112" s="261"/>
      <c r="E112" s="260"/>
      <c r="F112" s="16"/>
      <c r="G112" s="16"/>
      <c r="H112" s="262"/>
    </row>
    <row r="113" spans="1:8" s="263" customFormat="1" ht="15">
      <c r="A113" s="62" t="s">
        <v>603</v>
      </c>
      <c r="B113" s="70"/>
      <c r="C113" s="260"/>
      <c r="D113" s="261"/>
      <c r="E113" s="260"/>
      <c r="F113" s="16"/>
      <c r="G113" s="16"/>
      <c r="H113" s="262"/>
    </row>
    <row r="114" spans="1:8" s="263" customFormat="1" ht="15">
      <c r="A114" s="62" t="s">
        <v>604</v>
      </c>
      <c r="B114" s="70"/>
      <c r="C114" s="260"/>
      <c r="D114" s="261"/>
      <c r="E114" s="260"/>
      <c r="F114" s="16"/>
      <c r="G114" s="16"/>
      <c r="H114" s="262"/>
    </row>
    <row r="115" spans="1:8" s="263" customFormat="1" ht="15">
      <c r="A115" s="62" t="s">
        <v>605</v>
      </c>
      <c r="B115" s="70"/>
      <c r="C115" s="260"/>
      <c r="D115" s="261"/>
      <c r="E115" s="260"/>
      <c r="F115" s="16"/>
      <c r="G115" s="16"/>
      <c r="H115" s="262"/>
    </row>
    <row r="116" spans="1:8" s="263" customFormat="1" ht="15">
      <c r="A116" s="62" t="s">
        <v>606</v>
      </c>
      <c r="B116" s="70"/>
      <c r="C116" s="260"/>
      <c r="D116" s="261"/>
      <c r="E116" s="260"/>
      <c r="F116" s="16"/>
      <c r="G116" s="16"/>
      <c r="H116" s="262"/>
    </row>
    <row r="117" spans="1:8" s="263" customFormat="1" ht="15">
      <c r="A117" s="62" t="s">
        <v>607</v>
      </c>
      <c r="B117" s="70"/>
      <c r="C117" s="260"/>
      <c r="D117" s="261"/>
      <c r="E117" s="260"/>
      <c r="F117" s="16"/>
      <c r="G117" s="16"/>
      <c r="H117" s="262"/>
    </row>
    <row r="118" spans="1:8" s="263" customFormat="1" ht="15">
      <c r="A118" s="62" t="s">
        <v>608</v>
      </c>
      <c r="B118" s="70"/>
      <c r="C118" s="260"/>
      <c r="D118" s="261"/>
      <c r="E118" s="260"/>
      <c r="F118" s="16"/>
      <c r="G118" s="16"/>
      <c r="H118" s="262"/>
    </row>
    <row r="119" spans="1:8" s="263" customFormat="1" ht="15">
      <c r="A119" s="62" t="s">
        <v>609</v>
      </c>
      <c r="B119" s="70"/>
      <c r="C119" s="260"/>
      <c r="D119" s="261"/>
      <c r="E119" s="260"/>
      <c r="F119" s="16"/>
      <c r="G119" s="16"/>
      <c r="H119" s="262"/>
    </row>
    <row r="120" spans="1:8" s="263" customFormat="1" ht="15">
      <c r="A120" s="62" t="s">
        <v>610</v>
      </c>
      <c r="B120" s="70"/>
      <c r="C120" s="260"/>
      <c r="D120" s="261"/>
      <c r="E120" s="260"/>
      <c r="F120" s="16"/>
      <c r="G120" s="16"/>
      <c r="H120" s="262"/>
    </row>
    <row r="121" spans="1:8" s="263" customFormat="1" ht="15">
      <c r="A121" s="62" t="s">
        <v>611</v>
      </c>
      <c r="B121" s="70"/>
      <c r="C121" s="260"/>
      <c r="D121" s="261"/>
      <c r="E121" s="260"/>
      <c r="F121" s="16"/>
      <c r="G121" s="16"/>
      <c r="H121" s="262"/>
    </row>
    <row r="122" spans="1:8" s="263" customFormat="1" ht="15">
      <c r="A122" s="62" t="s">
        <v>613</v>
      </c>
      <c r="B122" s="70"/>
      <c r="C122" s="260"/>
      <c r="D122" s="261"/>
      <c r="E122" s="260"/>
      <c r="F122" s="16"/>
      <c r="G122" s="16"/>
      <c r="H122" s="262"/>
    </row>
    <row r="123" spans="1:8" s="263" customFormat="1" ht="15">
      <c r="A123" s="62" t="s">
        <v>614</v>
      </c>
      <c r="B123" s="70"/>
      <c r="C123" s="260"/>
      <c r="D123" s="261"/>
      <c r="E123" s="260"/>
      <c r="F123" s="16"/>
      <c r="G123" s="16"/>
      <c r="H123" s="262"/>
    </row>
    <row r="124" spans="1:8" s="263" customFormat="1" ht="15">
      <c r="A124" s="62" t="s">
        <v>615</v>
      </c>
      <c r="B124" s="70"/>
      <c r="C124" s="260"/>
      <c r="D124" s="261"/>
      <c r="E124" s="260"/>
      <c r="F124" s="16"/>
      <c r="G124" s="16"/>
      <c r="H124" s="262"/>
    </row>
    <row r="125" spans="1:8" s="263" customFormat="1" ht="15">
      <c r="A125" s="62"/>
      <c r="B125" s="70" t="s">
        <v>616</v>
      </c>
      <c r="C125" s="260"/>
      <c r="D125" s="261"/>
      <c r="E125" s="260"/>
      <c r="F125" s="16"/>
      <c r="G125" s="16"/>
      <c r="H125" s="262"/>
    </row>
    <row r="126" spans="1:8" s="263" customFormat="1" ht="15">
      <c r="A126" s="62" t="s">
        <v>617</v>
      </c>
      <c r="B126" s="70"/>
      <c r="C126" s="260"/>
      <c r="D126" s="261"/>
      <c r="E126" s="260"/>
      <c r="F126" s="16"/>
      <c r="G126" s="16"/>
      <c r="H126" s="262"/>
    </row>
    <row r="127" spans="1:8" s="263" customFormat="1" ht="15">
      <c r="A127" s="62" t="s">
        <v>618</v>
      </c>
      <c r="B127" s="70"/>
      <c r="C127" s="260"/>
      <c r="D127" s="261"/>
      <c r="E127" s="260"/>
      <c r="F127" s="16"/>
      <c r="G127" s="16"/>
      <c r="H127" s="262"/>
    </row>
    <row r="128" spans="1:8" s="263" customFormat="1" ht="15">
      <c r="A128" s="295" t="s">
        <v>619</v>
      </c>
      <c r="B128" s="70"/>
      <c r="C128" s="260"/>
      <c r="D128" s="261"/>
      <c r="E128" s="260"/>
      <c r="F128" s="16"/>
      <c r="G128" s="16"/>
      <c r="H128" s="262"/>
    </row>
    <row r="129" spans="1:8" s="263" customFormat="1" ht="15">
      <c r="A129" s="295" t="s">
        <v>620</v>
      </c>
      <c r="B129" s="70"/>
      <c r="C129" s="260"/>
      <c r="D129" s="261"/>
      <c r="E129" s="260"/>
      <c r="F129" s="16"/>
      <c r="G129" s="16"/>
      <c r="H129" s="262"/>
    </row>
    <row r="130" spans="1:8" s="263" customFormat="1" ht="15">
      <c r="A130" s="295" t="s">
        <v>621</v>
      </c>
      <c r="B130" s="70"/>
      <c r="C130" s="260"/>
      <c r="D130" s="261"/>
      <c r="E130" s="260"/>
      <c r="F130" s="16"/>
      <c r="G130" s="16"/>
      <c r="H130" s="262"/>
    </row>
    <row r="131" spans="1:8" s="263" customFormat="1" ht="15">
      <c r="A131" s="295" t="s">
        <v>622</v>
      </c>
      <c r="B131" s="70"/>
      <c r="C131" s="260"/>
      <c r="D131" s="261"/>
      <c r="E131" s="260"/>
      <c r="F131" s="16"/>
      <c r="G131" s="16"/>
      <c r="H131" s="262"/>
    </row>
    <row r="132" spans="1:8" s="263" customFormat="1" ht="15">
      <c r="A132" s="295" t="s">
        <v>623</v>
      </c>
      <c r="B132" s="70"/>
      <c r="C132" s="260"/>
      <c r="D132" s="261"/>
      <c r="E132" s="260"/>
      <c r="F132" s="16"/>
      <c r="G132" s="16"/>
      <c r="H132" s="262"/>
    </row>
    <row r="133" spans="1:8" s="263" customFormat="1" ht="15">
      <c r="A133" s="295" t="s">
        <v>86</v>
      </c>
      <c r="B133" s="70"/>
      <c r="C133" s="260"/>
      <c r="D133" s="261"/>
      <c r="E133" s="260"/>
      <c r="F133" s="16"/>
      <c r="G133" s="16"/>
      <c r="H133" s="262"/>
    </row>
    <row r="134" spans="1:8" s="263" customFormat="1" ht="15">
      <c r="A134" s="62"/>
      <c r="B134" s="70" t="s">
        <v>85</v>
      </c>
      <c r="C134" s="260"/>
      <c r="D134" s="261"/>
      <c r="E134" s="260"/>
      <c r="F134" s="16"/>
      <c r="G134" s="16"/>
      <c r="H134" s="262"/>
    </row>
    <row r="135" spans="1:8" s="263" customFormat="1" ht="15">
      <c r="A135" s="295" t="s">
        <v>88</v>
      </c>
      <c r="B135" s="70"/>
      <c r="C135" s="260"/>
      <c r="D135" s="261"/>
      <c r="E135" s="260"/>
      <c r="F135" s="16"/>
      <c r="G135" s="16"/>
      <c r="H135" s="262"/>
    </row>
    <row r="136" spans="1:8" s="263" customFormat="1" ht="15">
      <c r="A136" s="295" t="s">
        <v>96</v>
      </c>
      <c r="B136" s="70"/>
      <c r="C136" s="260"/>
      <c r="D136" s="261"/>
      <c r="E136" s="260"/>
      <c r="F136" s="16"/>
      <c r="G136" s="16"/>
      <c r="H136" s="262"/>
    </row>
    <row r="137" spans="1:8" s="263" customFormat="1" ht="15">
      <c r="A137" s="62"/>
      <c r="B137" s="70" t="s">
        <v>93</v>
      </c>
      <c r="C137" s="260"/>
      <c r="D137" s="261"/>
      <c r="E137" s="260"/>
      <c r="F137" s="16"/>
      <c r="G137" s="16"/>
      <c r="H137" s="262"/>
    </row>
    <row r="138" spans="1:8" s="263" customFormat="1" ht="15">
      <c r="A138" s="295" t="s">
        <v>103</v>
      </c>
      <c r="B138" s="70"/>
      <c r="C138" s="260"/>
      <c r="D138" s="261"/>
      <c r="E138" s="260"/>
      <c r="F138" s="16"/>
      <c r="G138" s="16"/>
      <c r="H138" s="262"/>
    </row>
    <row r="139" spans="1:8" s="263" customFormat="1" ht="15">
      <c r="A139" s="62"/>
      <c r="B139" s="70" t="s">
        <v>102</v>
      </c>
      <c r="C139" s="260"/>
      <c r="D139" s="261"/>
      <c r="E139" s="260"/>
      <c r="F139" s="16"/>
      <c r="G139" s="16"/>
      <c r="H139" s="262"/>
    </row>
    <row r="140" spans="1:8" s="263" customFormat="1" ht="15">
      <c r="A140" s="295" t="s">
        <v>104</v>
      </c>
      <c r="B140" s="70"/>
      <c r="C140" s="260"/>
      <c r="D140" s="261"/>
      <c r="E140" s="260"/>
      <c r="F140" s="16"/>
      <c r="G140" s="16"/>
      <c r="H140" s="262"/>
    </row>
    <row r="141" spans="1:8" s="263" customFormat="1" ht="15">
      <c r="A141" s="295" t="s">
        <v>108</v>
      </c>
      <c r="B141" s="70"/>
      <c r="C141" s="260"/>
      <c r="D141" s="261"/>
      <c r="E141" s="260"/>
      <c r="F141" s="16"/>
      <c r="G141" s="16"/>
      <c r="H141" s="262"/>
    </row>
    <row r="142" spans="1:8" s="263" customFormat="1" ht="15">
      <c r="A142" s="295" t="s">
        <v>117</v>
      </c>
      <c r="B142" s="70"/>
      <c r="C142" s="260"/>
      <c r="D142" s="261"/>
      <c r="E142" s="260"/>
      <c r="F142" s="16"/>
      <c r="G142" s="16"/>
      <c r="H142" s="262"/>
    </row>
    <row r="143" spans="1:8" s="263" customFormat="1" ht="15">
      <c r="A143" s="295" t="s">
        <v>139</v>
      </c>
      <c r="B143" s="70"/>
      <c r="C143" s="260"/>
      <c r="D143" s="261"/>
      <c r="E143" s="260"/>
      <c r="F143" s="16"/>
      <c r="G143" s="16"/>
      <c r="H143" s="262"/>
    </row>
    <row r="144" spans="1:8" s="263" customFormat="1" ht="15">
      <c r="A144" s="62"/>
      <c r="B144" s="70" t="s">
        <v>141</v>
      </c>
      <c r="C144" s="260"/>
      <c r="D144" s="261"/>
      <c r="E144" s="260"/>
      <c r="F144" s="16"/>
      <c r="G144" s="16"/>
      <c r="H144" s="262"/>
    </row>
    <row r="145" spans="1:8" s="263" customFormat="1" ht="15">
      <c r="A145" s="295" t="s">
        <v>323</v>
      </c>
      <c r="B145" s="70"/>
      <c r="C145" s="260"/>
      <c r="D145" s="261"/>
      <c r="E145" s="260"/>
      <c r="F145" s="16"/>
      <c r="G145" s="16"/>
      <c r="H145" s="262"/>
    </row>
    <row r="146" spans="1:8" s="263" customFormat="1" ht="15">
      <c r="A146" s="295" t="s">
        <v>95</v>
      </c>
      <c r="B146" s="70"/>
      <c r="C146" s="260"/>
      <c r="D146" s="261"/>
      <c r="E146" s="260"/>
      <c r="F146" s="16"/>
      <c r="G146" s="16"/>
      <c r="H146" s="262"/>
    </row>
    <row r="147" spans="1:8" s="263" customFormat="1" ht="15">
      <c r="A147" s="295" t="s">
        <v>0</v>
      </c>
      <c r="B147" s="70"/>
      <c r="C147" s="260"/>
      <c r="D147" s="261"/>
      <c r="E147" s="260"/>
      <c r="F147" s="16"/>
      <c r="G147" s="16"/>
      <c r="H147" s="262"/>
    </row>
    <row r="148" spans="1:8" s="263" customFormat="1" ht="15">
      <c r="A148" s="295" t="s">
        <v>1138</v>
      </c>
      <c r="B148" s="70"/>
      <c r="C148" s="260"/>
      <c r="D148" s="261"/>
      <c r="E148" s="260"/>
      <c r="F148" s="16"/>
      <c r="G148" s="16"/>
      <c r="H148" s="262"/>
    </row>
    <row r="149" spans="1:8" s="263" customFormat="1" ht="15">
      <c r="A149" s="295" t="s">
        <v>726</v>
      </c>
      <c r="B149" s="70"/>
      <c r="C149" s="260"/>
      <c r="D149" s="261"/>
      <c r="E149" s="260"/>
      <c r="F149" s="16"/>
      <c r="G149" s="16"/>
      <c r="H149" s="262"/>
    </row>
    <row r="150" spans="1:8" s="263" customFormat="1" ht="15">
      <c r="A150" s="295"/>
      <c r="B150" s="70" t="s">
        <v>727</v>
      </c>
      <c r="C150" s="260"/>
      <c r="D150" s="261"/>
      <c r="E150" s="260"/>
      <c r="F150" s="16"/>
      <c r="G150" s="16"/>
      <c r="H150" s="262"/>
    </row>
    <row r="151" spans="1:8" s="263" customFormat="1" ht="15">
      <c r="A151" s="295" t="s">
        <v>612</v>
      </c>
      <c r="B151" s="70"/>
      <c r="C151" s="260"/>
      <c r="D151" s="261"/>
      <c r="E151" s="260"/>
      <c r="F151" s="16"/>
      <c r="G151" s="16"/>
      <c r="H151" s="262"/>
    </row>
    <row r="152" spans="1:8" s="263" customFormat="1" ht="15">
      <c r="A152" s="295" t="s">
        <v>140</v>
      </c>
      <c r="B152" s="70"/>
      <c r="C152" s="260"/>
      <c r="D152" s="261"/>
      <c r="E152" s="260"/>
      <c r="F152" s="16"/>
      <c r="G152" s="16"/>
      <c r="H152" s="262"/>
    </row>
    <row r="153" spans="1:8" s="263" customFormat="1" ht="15">
      <c r="A153" s="295" t="s">
        <v>1162</v>
      </c>
      <c r="B153" s="70"/>
      <c r="C153" s="260"/>
      <c r="D153" s="261"/>
      <c r="E153" s="260"/>
      <c r="F153" s="16"/>
      <c r="G153" s="16"/>
      <c r="H153" s="262"/>
    </row>
    <row r="154" spans="1:8" s="263" customFormat="1" ht="15">
      <c r="A154" s="295" t="s">
        <v>253</v>
      </c>
      <c r="B154" s="70"/>
      <c r="C154" s="260"/>
      <c r="D154" s="261"/>
      <c r="E154" s="260"/>
      <c r="F154" s="16"/>
      <c r="G154" s="16"/>
      <c r="H154" s="262"/>
    </row>
    <row r="155" spans="1:8" s="263" customFormat="1" ht="15">
      <c r="A155" s="295" t="s">
        <v>119</v>
      </c>
      <c r="B155" s="70"/>
      <c r="C155" s="260"/>
      <c r="D155" s="261"/>
      <c r="E155" s="260"/>
      <c r="F155" s="16"/>
      <c r="G155" s="16"/>
      <c r="H155" s="262"/>
    </row>
    <row r="156" spans="1:8" s="263" customFormat="1" ht="15">
      <c r="A156" s="295"/>
      <c r="B156" s="70" t="s">
        <v>1161</v>
      </c>
      <c r="C156" s="260"/>
      <c r="D156" s="261"/>
      <c r="E156" s="260"/>
      <c r="F156" s="16"/>
      <c r="G156" s="16"/>
      <c r="H156" s="262"/>
    </row>
    <row r="157" spans="1:8" s="263" customFormat="1" ht="15">
      <c r="A157" s="295" t="s">
        <v>801</v>
      </c>
      <c r="B157" s="70"/>
      <c r="C157" s="260"/>
      <c r="D157" s="261"/>
      <c r="E157" s="260"/>
      <c r="F157" s="16"/>
      <c r="G157" s="16"/>
      <c r="H157" s="262"/>
    </row>
    <row r="158" spans="1:8" s="263" customFormat="1" ht="15">
      <c r="A158" s="295" t="s">
        <v>719</v>
      </c>
      <c r="B158" s="70"/>
      <c r="C158" s="260"/>
      <c r="D158" s="261"/>
      <c r="E158" s="260"/>
      <c r="F158" s="16"/>
      <c r="G158" s="16"/>
      <c r="H158" s="262"/>
    </row>
    <row r="159" spans="1:8" s="263" customFormat="1" ht="15">
      <c r="A159" s="295" t="s">
        <v>505</v>
      </c>
      <c r="B159" s="70"/>
      <c r="C159" s="260"/>
      <c r="D159" s="261"/>
      <c r="E159" s="260"/>
      <c r="F159" s="16"/>
      <c r="G159" s="16"/>
      <c r="H159" s="262"/>
    </row>
    <row r="160" spans="1:8" ht="14.25">
      <c r="A160" s="6"/>
      <c r="B160" s="7"/>
      <c r="C160" s="7"/>
      <c r="D160" s="12"/>
      <c r="E160" s="49"/>
      <c r="F160" s="50"/>
      <c r="G160" s="50"/>
      <c r="H160" s="9"/>
    </row>
    <row r="161" spans="6:8" ht="14.25">
      <c r="F161"/>
      <c r="G161"/>
      <c r="H161"/>
    </row>
    <row r="162" spans="6:8" ht="14.25">
      <c r="F162"/>
      <c r="G162"/>
      <c r="H162"/>
    </row>
    <row r="163" spans="6:8" ht="14.25">
      <c r="F163"/>
      <c r="G163"/>
      <c r="H163"/>
    </row>
    <row r="164" spans="6:8" ht="14.25">
      <c r="F164"/>
      <c r="G164"/>
      <c r="H164"/>
    </row>
  </sheetData>
  <sheetProtection password="C927" sheet="1" objects="1" scenarios="1"/>
  <printOptions/>
  <pageMargins left="0.7480314960629921" right="0.7480314960629921" top="1.06" bottom="1.01" header="0.5118110236220472" footer="0.5118110236220472"/>
  <pageSetup fitToHeight="2" horizontalDpi="300" verticalDpi="300" orientation="landscape" paperSize="9" scale="77" r:id="rId1"/>
  <headerFooter alignWithMargins="0">
    <oddHeader>&amp;C&amp;A</oddHeader>
    <oddFooter>&amp;L&amp;F&amp;CPage &amp;P of &amp;N&amp;R&amp;D</oddFooter>
  </headerFooter>
  <rowBreaks count="1" manualBreakCount="1">
    <brk id="34" max="65535" man="1"/>
  </rowBreaks>
</worksheet>
</file>

<file path=xl/worksheets/sheet5.xml><?xml version="1.0" encoding="utf-8"?>
<worksheet xmlns="http://schemas.openxmlformats.org/spreadsheetml/2006/main" xmlns:r="http://schemas.openxmlformats.org/officeDocument/2006/relationships">
  <sheetPr codeName="Sheet4"/>
  <dimension ref="A1:U629"/>
  <sheetViews>
    <sheetView showGridLines="0" zoomScale="75" zoomScaleNormal="75" workbookViewId="0" topLeftCell="A1">
      <selection activeCell="A1" sqref="A1"/>
    </sheetView>
  </sheetViews>
  <sheetFormatPr defaultColWidth="9.00390625" defaultRowHeight="14.25"/>
  <cols>
    <col min="1" max="1" width="60.75390625" style="0" customWidth="1"/>
    <col min="2" max="2" width="12.625" style="0" customWidth="1"/>
    <col min="3" max="3" width="22.125" style="1" customWidth="1"/>
    <col min="4" max="4" width="37.375" style="0" customWidth="1"/>
    <col min="5" max="5" width="25.75390625" style="0" customWidth="1"/>
    <col min="6" max="6" width="17.625" style="0" customWidth="1"/>
    <col min="7" max="7" width="56.75390625" style="0" customWidth="1"/>
    <col min="8" max="8" width="55.75390625" style="0" customWidth="1"/>
    <col min="9" max="9" width="56.75390625" style="0" customWidth="1"/>
    <col min="10" max="11" width="56.25390625" style="0" customWidth="1"/>
    <col min="12" max="12" width="51.50390625" style="0" customWidth="1"/>
    <col min="13" max="15" width="56.25390625" style="0" customWidth="1"/>
    <col min="16" max="17" width="47.125" style="0" customWidth="1"/>
    <col min="18" max="18" width="30.625" style="0" customWidth="1"/>
    <col min="19" max="19" width="21.375" style="0" bestFit="1" customWidth="1"/>
  </cols>
  <sheetData>
    <row r="1" spans="1:11" ht="15">
      <c r="A1" s="269" t="s">
        <v>455</v>
      </c>
      <c r="B1" s="52" t="s">
        <v>624</v>
      </c>
      <c r="C1" s="269">
        <v>1</v>
      </c>
      <c r="D1" s="146" t="s">
        <v>625</v>
      </c>
      <c r="E1" s="118"/>
      <c r="F1" s="119"/>
      <c r="G1" s="119"/>
      <c r="H1" s="119"/>
      <c r="I1" s="119"/>
      <c r="J1" s="120"/>
      <c r="K1" s="120"/>
    </row>
    <row r="2" spans="1:11" ht="15">
      <c r="A2" s="153" t="s">
        <v>626</v>
      </c>
      <c r="B2" s="52"/>
      <c r="C2" s="45">
        <v>1</v>
      </c>
      <c r="D2" s="150" t="s">
        <v>462</v>
      </c>
      <c r="E2" s="118"/>
      <c r="F2" s="119"/>
      <c r="G2" s="119"/>
      <c r="H2" s="119"/>
      <c r="I2" s="119"/>
      <c r="J2" s="120"/>
      <c r="K2" s="120"/>
    </row>
    <row r="3" spans="1:11" ht="15">
      <c r="A3" s="140" t="s">
        <v>627</v>
      </c>
      <c r="B3" s="23"/>
      <c r="C3" s="45">
        <v>2</v>
      </c>
      <c r="D3" s="58" t="s">
        <v>354</v>
      </c>
      <c r="E3" s="118"/>
      <c r="F3" s="119"/>
      <c r="G3" s="119"/>
      <c r="H3" s="119"/>
      <c r="I3" s="119"/>
      <c r="J3" s="120"/>
      <c r="K3" s="120"/>
    </row>
    <row r="4" spans="1:11" ht="15">
      <c r="A4" s="140" t="s">
        <v>628</v>
      </c>
      <c r="B4" s="23"/>
      <c r="C4" s="45">
        <v>3</v>
      </c>
      <c r="D4" s="58" t="s">
        <v>458</v>
      </c>
      <c r="E4" s="118"/>
      <c r="F4" s="119"/>
      <c r="G4" s="119"/>
      <c r="H4" s="119"/>
      <c r="I4" s="119"/>
      <c r="J4" s="120"/>
      <c r="K4" s="120"/>
    </row>
    <row r="5" spans="1:11" ht="15" customHeight="1">
      <c r="A5" s="140" t="s">
        <v>629</v>
      </c>
      <c r="B5" s="23"/>
      <c r="C5" s="45">
        <v>4</v>
      </c>
      <c r="D5" s="58" t="s">
        <v>458</v>
      </c>
      <c r="E5" s="118"/>
      <c r="F5" s="119"/>
      <c r="G5" s="119"/>
      <c r="H5" s="119"/>
      <c r="I5" s="119"/>
      <c r="J5" s="120"/>
      <c r="K5" s="120"/>
    </row>
    <row r="6" spans="1:11" ht="15">
      <c r="A6" s="147"/>
      <c r="B6" s="23"/>
      <c r="C6" s="52"/>
      <c r="D6" s="117"/>
      <c r="E6" s="118"/>
      <c r="F6" s="119"/>
      <c r="G6" s="119"/>
      <c r="H6" s="119"/>
      <c r="I6" s="119"/>
      <c r="J6" s="120"/>
      <c r="K6" s="120"/>
    </row>
    <row r="7" spans="1:20" ht="15">
      <c r="A7" s="139" t="s">
        <v>451</v>
      </c>
      <c r="B7" s="52" t="s">
        <v>624</v>
      </c>
      <c r="C7" s="269">
        <v>1</v>
      </c>
      <c r="D7" s="146" t="s">
        <v>630</v>
      </c>
      <c r="E7" s="85">
        <v>1</v>
      </c>
      <c r="F7" s="85">
        <v>2</v>
      </c>
      <c r="G7" s="85">
        <v>3</v>
      </c>
      <c r="H7" s="85">
        <v>4</v>
      </c>
      <c r="I7" s="119"/>
      <c r="J7" s="120"/>
      <c r="K7" s="120"/>
      <c r="L7" s="52"/>
      <c r="M7" s="52"/>
      <c r="N7" s="45">
        <v>11</v>
      </c>
      <c r="O7" s="45">
        <v>22</v>
      </c>
      <c r="P7" s="45">
        <v>23</v>
      </c>
      <c r="Q7" s="45">
        <v>32</v>
      </c>
      <c r="R7" s="45">
        <v>33</v>
      </c>
      <c r="S7" s="45">
        <v>41</v>
      </c>
      <c r="T7" s="45">
        <v>42</v>
      </c>
    </row>
    <row r="8" spans="1:20" ht="15" customHeight="1">
      <c r="A8" s="270" t="str">
        <f>HLOOKUP($C$1,$E$7:$H$10,2)</f>
        <v>Choose ONE of ...</v>
      </c>
      <c r="B8" s="271"/>
      <c r="C8" s="45">
        <v>1</v>
      </c>
      <c r="D8" s="272" t="str">
        <f>HLOOKUP($M$10,$N$7:$V$8,2)</f>
        <v>*</v>
      </c>
      <c r="E8" s="153" t="s">
        <v>626</v>
      </c>
      <c r="F8" s="153" t="s">
        <v>626</v>
      </c>
      <c r="G8" s="182" t="s">
        <v>631</v>
      </c>
      <c r="H8" s="183" t="s">
        <v>632</v>
      </c>
      <c r="I8" s="119"/>
      <c r="J8" s="120"/>
      <c r="K8" s="120"/>
      <c r="L8" s="177" t="s">
        <v>633</v>
      </c>
      <c r="M8" s="184">
        <f>$C$1</f>
        <v>1</v>
      </c>
      <c r="N8" s="179" t="s">
        <v>462</v>
      </c>
      <c r="O8" s="75" t="s">
        <v>348</v>
      </c>
      <c r="P8" s="75" t="s">
        <v>344</v>
      </c>
      <c r="Q8" s="179" t="s">
        <v>462</v>
      </c>
      <c r="R8" s="202" t="s">
        <v>462</v>
      </c>
      <c r="S8" s="75" t="s">
        <v>346</v>
      </c>
      <c r="T8" s="179" t="s">
        <v>462</v>
      </c>
    </row>
    <row r="9" spans="1:13" ht="15" customHeight="1">
      <c r="A9" s="270" t="str">
        <f>HLOOKUP($C$1,$E$7:$H$10,3)</f>
        <v>Directional - KCE************</v>
      </c>
      <c r="B9" s="271"/>
      <c r="C9" s="45">
        <v>2</v>
      </c>
      <c r="D9" s="272" t="str">
        <f>HLOOKUP($M$10,$N$7:$V$8,2)</f>
        <v>*</v>
      </c>
      <c r="E9" s="170" t="s">
        <v>635</v>
      </c>
      <c r="F9" s="182" t="s">
        <v>635</v>
      </c>
      <c r="G9" s="198" t="s">
        <v>636</v>
      </c>
      <c r="H9" s="199" t="s">
        <v>636</v>
      </c>
      <c r="I9" s="119"/>
      <c r="J9" s="120"/>
      <c r="K9" s="120"/>
      <c r="L9" s="177" t="s">
        <v>637</v>
      </c>
      <c r="M9" s="184">
        <f>$C$7</f>
        <v>1</v>
      </c>
    </row>
    <row r="10" spans="1:13" ht="15" customHeight="1">
      <c r="A10" s="270" t="str">
        <f>HLOOKUP($C$1,$E$7:$H$10,4)</f>
        <v>Non-Directional - K*G************</v>
      </c>
      <c r="B10" s="271"/>
      <c r="C10" s="45">
        <v>3</v>
      </c>
      <c r="D10" s="272" t="str">
        <f>HLOOKUP($M$10,$N$7:$V$8,2)</f>
        <v>*</v>
      </c>
      <c r="E10" s="170" t="s">
        <v>631</v>
      </c>
      <c r="F10" s="182" t="s">
        <v>631</v>
      </c>
      <c r="G10" s="198" t="s">
        <v>636</v>
      </c>
      <c r="H10" s="199" t="s">
        <v>636</v>
      </c>
      <c r="I10" s="119"/>
      <c r="J10" s="120"/>
      <c r="K10" s="120"/>
      <c r="L10" s="178" t="s">
        <v>638</v>
      </c>
      <c r="M10" s="137">
        <f>$M$8*10+$M$9</f>
        <v>11</v>
      </c>
    </row>
    <row r="11" spans="1:11" ht="15">
      <c r="A11" s="147"/>
      <c r="B11" s="23"/>
      <c r="C11" s="52"/>
      <c r="D11" s="117"/>
      <c r="E11" s="118"/>
      <c r="F11" s="119"/>
      <c r="G11" s="119"/>
      <c r="H11" s="119"/>
      <c r="I11" s="119"/>
      <c r="J11" s="120"/>
      <c r="K11" s="120"/>
    </row>
    <row r="12" spans="1:21" ht="15">
      <c r="A12" s="139" t="s">
        <v>443</v>
      </c>
      <c r="B12" s="52" t="s">
        <v>624</v>
      </c>
      <c r="C12" s="269">
        <v>1</v>
      </c>
      <c r="D12" s="146" t="s">
        <v>639</v>
      </c>
      <c r="E12" s="85">
        <v>1</v>
      </c>
      <c r="F12" s="85">
        <v>2</v>
      </c>
      <c r="G12" s="85">
        <v>3</v>
      </c>
      <c r="H12" s="85">
        <v>4</v>
      </c>
      <c r="I12" s="119"/>
      <c r="J12" s="120"/>
      <c r="K12" s="120"/>
      <c r="L12" s="52"/>
      <c r="M12" s="52"/>
      <c r="N12" s="45">
        <v>11</v>
      </c>
      <c r="O12" s="45">
        <v>22</v>
      </c>
      <c r="P12" s="45">
        <v>23</v>
      </c>
      <c r="Q12" s="45">
        <v>24</v>
      </c>
      <c r="R12" s="45">
        <v>31</v>
      </c>
      <c r="S12" s="45">
        <v>32</v>
      </c>
      <c r="T12" s="45">
        <v>41</v>
      </c>
      <c r="U12" s="45">
        <v>42</v>
      </c>
    </row>
    <row r="13" spans="1:21" ht="15" customHeight="1">
      <c r="A13" s="270" t="str">
        <f>HLOOKUP($C$1,$E$12:$H$16,2)</f>
        <v>Choose ONE of ...</v>
      </c>
      <c r="B13" s="271"/>
      <c r="C13" s="45">
        <v>1</v>
      </c>
      <c r="D13" s="272" t="str">
        <f>HLOOKUP($M$15,$N$12:$U$13,2)</f>
        <v>*</v>
      </c>
      <c r="E13" s="153" t="s">
        <v>626</v>
      </c>
      <c r="F13" s="153" t="s">
        <v>626</v>
      </c>
      <c r="G13" s="200" t="s">
        <v>640</v>
      </c>
      <c r="H13" s="183" t="s">
        <v>641</v>
      </c>
      <c r="I13" s="119"/>
      <c r="J13" s="120"/>
      <c r="K13" s="120"/>
      <c r="L13" s="177" t="s">
        <v>633</v>
      </c>
      <c r="M13" s="184">
        <f>$C$1</f>
        <v>1</v>
      </c>
      <c r="N13" s="179" t="s">
        <v>462</v>
      </c>
      <c r="O13" s="69" t="s">
        <v>344</v>
      </c>
      <c r="P13" s="69" t="s">
        <v>446</v>
      </c>
      <c r="Q13" s="179" t="s">
        <v>462</v>
      </c>
      <c r="R13" s="69" t="s">
        <v>354</v>
      </c>
      <c r="S13" s="179" t="s">
        <v>462</v>
      </c>
      <c r="T13" s="69" t="s">
        <v>344</v>
      </c>
      <c r="U13" s="179" t="s">
        <v>462</v>
      </c>
    </row>
    <row r="14" spans="1:13" ht="15" customHeight="1">
      <c r="A14" s="270" t="str">
        <f>HLOOKUP($C$1,$E$12:$H$16,3)</f>
        <v>General - KC*G***********</v>
      </c>
      <c r="B14" s="271"/>
      <c r="C14" s="45">
        <v>2</v>
      </c>
      <c r="D14" s="272" t="str">
        <f>HLOOKUP($M$15,$N$12:$U$13,2)</f>
        <v>*</v>
      </c>
      <c r="E14" s="200" t="s">
        <v>642</v>
      </c>
      <c r="F14" s="200" t="s">
        <v>642</v>
      </c>
      <c r="G14" s="201" t="s">
        <v>636</v>
      </c>
      <c r="H14" s="201" t="s">
        <v>636</v>
      </c>
      <c r="I14" s="119"/>
      <c r="J14" s="120"/>
      <c r="K14" s="120"/>
      <c r="L14" s="177" t="s">
        <v>643</v>
      </c>
      <c r="M14" s="184">
        <f>$C$12</f>
        <v>1</v>
      </c>
    </row>
    <row r="15" spans="1:13" ht="15" customHeight="1">
      <c r="A15" s="270" t="str">
        <f>HLOOKUP($C$1,$E$12:$H$16,4)</f>
        <v>Control - KVGC***********</v>
      </c>
      <c r="B15" s="271"/>
      <c r="C15" s="45">
        <v>3</v>
      </c>
      <c r="D15" s="272" t="str">
        <f>HLOOKUP($M$15,$N$12:$U$13,2)</f>
        <v>*</v>
      </c>
      <c r="E15" s="200" t="s">
        <v>640</v>
      </c>
      <c r="F15" s="200" t="s">
        <v>646</v>
      </c>
      <c r="G15" s="201" t="s">
        <v>636</v>
      </c>
      <c r="H15" s="201" t="s">
        <v>636</v>
      </c>
      <c r="I15" s="119"/>
      <c r="J15" s="120"/>
      <c r="K15" s="120"/>
      <c r="L15" s="178" t="s">
        <v>638</v>
      </c>
      <c r="M15" s="137">
        <f>$M$13*10+$M$14</f>
        <v>11</v>
      </c>
    </row>
    <row r="16" spans="1:11" ht="15" customHeight="1">
      <c r="A16" s="270" t="str">
        <f>HLOOKUP($C$1,$E$12:$H$16,5)</f>
        <v>General with Wattmetric &amp; Thermal Protection - KCEU***********</v>
      </c>
      <c r="B16" s="271"/>
      <c r="C16" s="45">
        <v>4</v>
      </c>
      <c r="D16" s="272" t="str">
        <f>HLOOKUP($M$15,$N$12:$U$13,2)</f>
        <v>*</v>
      </c>
      <c r="E16" s="200" t="s">
        <v>646</v>
      </c>
      <c r="F16" s="201" t="s">
        <v>636</v>
      </c>
      <c r="G16" s="201" t="s">
        <v>636</v>
      </c>
      <c r="H16" s="201" t="s">
        <v>636</v>
      </c>
      <c r="I16" s="119"/>
      <c r="J16" s="120"/>
      <c r="K16" s="120"/>
    </row>
    <row r="17" spans="1:14" ht="15" customHeight="1" thickBot="1">
      <c r="A17" s="147"/>
      <c r="B17" s="23"/>
      <c r="C17" s="52"/>
      <c r="D17" s="117"/>
      <c r="E17" s="118"/>
      <c r="F17" s="119"/>
      <c r="G17" s="119"/>
      <c r="H17" s="119"/>
      <c r="I17" s="119"/>
      <c r="J17" s="119"/>
      <c r="K17" s="119"/>
      <c r="L17" s="119"/>
      <c r="M17" s="119"/>
      <c r="N17" s="119"/>
    </row>
    <row r="18" spans="1:14" ht="15" customHeight="1">
      <c r="A18" s="139" t="s">
        <v>437</v>
      </c>
      <c r="B18" s="52" t="s">
        <v>624</v>
      </c>
      <c r="C18" s="269">
        <v>1</v>
      </c>
      <c r="D18" s="146" t="s">
        <v>647</v>
      </c>
      <c r="E18" s="120"/>
      <c r="F18" s="120"/>
      <c r="G18" s="185" t="s">
        <v>648</v>
      </c>
      <c r="H18" s="85" t="s">
        <v>649</v>
      </c>
      <c r="I18" s="85" t="s">
        <v>650</v>
      </c>
      <c r="J18" s="85" t="s">
        <v>651</v>
      </c>
      <c r="K18" s="371" t="s">
        <v>652</v>
      </c>
      <c r="L18" s="375" t="s">
        <v>653</v>
      </c>
      <c r="M18" s="376">
        <v>35577</v>
      </c>
      <c r="N18" s="377">
        <v>36634</v>
      </c>
    </row>
    <row r="19" spans="1:14" ht="15" customHeight="1">
      <c r="A19" s="180" t="str">
        <f>HLOOKUP($F$19,$G$18:$L$22,2)</f>
        <v>Choose ONE of ...</v>
      </c>
      <c r="B19" s="103"/>
      <c r="C19" s="45">
        <v>1</v>
      </c>
      <c r="D19" s="37" t="str">
        <f>HLOOKUP($F$19,$G$18:$L$26,6)</f>
        <v>*</v>
      </c>
      <c r="E19" s="187" t="s">
        <v>654</v>
      </c>
      <c r="F19" s="137" t="str">
        <f>CONCATENATE(Nomenclature!C5,Nomenclature!D5,Nomenclature!E5,Nomenclature!F5)</f>
        <v>K***</v>
      </c>
      <c r="G19" s="153" t="s">
        <v>626</v>
      </c>
      <c r="H19" s="153" t="s">
        <v>626</v>
      </c>
      <c r="I19" s="177" t="s">
        <v>626</v>
      </c>
      <c r="J19" s="177" t="s">
        <v>626</v>
      </c>
      <c r="K19" s="140" t="s">
        <v>438</v>
      </c>
      <c r="L19" s="378" t="str">
        <f>HLOOKUP($B$146,$M$18:$N$26,2)</f>
        <v>External Reference Voltage Supply</v>
      </c>
      <c r="M19" s="151" t="s">
        <v>438</v>
      </c>
      <c r="N19" s="379" t="s">
        <v>237</v>
      </c>
    </row>
    <row r="20" spans="1:14" ht="15" customHeight="1">
      <c r="A20" s="180" t="str">
        <f>HLOOKUP($F$19,$G$18:$L$22,3)</f>
        <v>Auxiliary Powered</v>
      </c>
      <c r="B20" s="103"/>
      <c r="C20" s="45">
        <v>2</v>
      </c>
      <c r="D20" s="37" t="str">
        <f>HLOOKUP($F$19,$G$18:$L$26,7)</f>
        <v>1</v>
      </c>
      <c r="E20" s="186"/>
      <c r="F20" s="186"/>
      <c r="G20" s="151" t="s">
        <v>438</v>
      </c>
      <c r="H20" s="151" t="s">
        <v>438</v>
      </c>
      <c r="I20" s="151" t="s">
        <v>438</v>
      </c>
      <c r="J20" s="151" t="s">
        <v>438</v>
      </c>
      <c r="K20" s="198" t="s">
        <v>636</v>
      </c>
      <c r="L20" s="380" t="s">
        <v>636</v>
      </c>
      <c r="M20" s="199" t="s">
        <v>636</v>
      </c>
      <c r="N20" s="381" t="s">
        <v>636</v>
      </c>
    </row>
    <row r="21" spans="1:14" ht="15" customHeight="1">
      <c r="A21" s="180" t="str">
        <f>HLOOKUP($F$19,$G$18:$L$22,4)</f>
        <v>Dual Powered</v>
      </c>
      <c r="B21" s="103"/>
      <c r="C21" s="45">
        <v>3</v>
      </c>
      <c r="D21" s="37" t="str">
        <f>HLOOKUP($F$19,$G$18:$L$26,8)</f>
        <v>2</v>
      </c>
      <c r="E21" s="186"/>
      <c r="F21" s="186"/>
      <c r="G21" s="183" t="s">
        <v>440</v>
      </c>
      <c r="H21" s="183" t="s">
        <v>440</v>
      </c>
      <c r="I21" s="183" t="s">
        <v>440</v>
      </c>
      <c r="J21" s="183" t="s">
        <v>440</v>
      </c>
      <c r="K21" s="198" t="s">
        <v>636</v>
      </c>
      <c r="L21" s="380" t="s">
        <v>636</v>
      </c>
      <c r="M21" s="199" t="s">
        <v>636</v>
      </c>
      <c r="N21" s="381" t="s">
        <v>636</v>
      </c>
    </row>
    <row r="22" spans="1:14" ht="15">
      <c r="A22" s="180" t="str">
        <f>HLOOKUP($F$19,$G$18:$L$22,5)</f>
        <v>Dual Powered for AC Series Trip</v>
      </c>
      <c r="B22" s="103"/>
      <c r="C22" s="45">
        <v>4</v>
      </c>
      <c r="D22" s="37" t="str">
        <f>HLOOKUP($F$19,$G$18:$L$26,9)</f>
        <v>3</v>
      </c>
      <c r="E22" s="186"/>
      <c r="F22" s="186"/>
      <c r="G22" s="200" t="s">
        <v>442</v>
      </c>
      <c r="H22" s="273" t="s">
        <v>636</v>
      </c>
      <c r="I22" s="273" t="s">
        <v>636</v>
      </c>
      <c r="J22" s="183" t="s">
        <v>442</v>
      </c>
      <c r="K22" s="372" t="s">
        <v>636</v>
      </c>
      <c r="L22" s="380" t="s">
        <v>636</v>
      </c>
      <c r="M22" s="199" t="s">
        <v>636</v>
      </c>
      <c r="N22" s="381" t="s">
        <v>636</v>
      </c>
    </row>
    <row r="23" spans="1:14" ht="15">
      <c r="A23" s="191"/>
      <c r="B23" s="70"/>
      <c r="C23" s="15"/>
      <c r="D23" s="33"/>
      <c r="E23" s="186"/>
      <c r="F23" s="186"/>
      <c r="G23" s="192" t="s">
        <v>462</v>
      </c>
      <c r="H23" s="192" t="s">
        <v>462</v>
      </c>
      <c r="I23" s="192" t="s">
        <v>462</v>
      </c>
      <c r="J23" s="226" t="s">
        <v>462</v>
      </c>
      <c r="K23" s="373" t="s">
        <v>655</v>
      </c>
      <c r="L23" s="378" t="str">
        <f>HLOOKUP($B$146,$M$18:$N$26,6)</f>
        <v>2</v>
      </c>
      <c r="M23" s="192" t="s">
        <v>655</v>
      </c>
      <c r="N23" s="382" t="s">
        <v>656</v>
      </c>
    </row>
    <row r="24" spans="1:14" ht="15">
      <c r="A24" s="191"/>
      <c r="B24" s="70"/>
      <c r="C24" s="15"/>
      <c r="D24" s="33"/>
      <c r="E24" s="186"/>
      <c r="F24" s="186"/>
      <c r="G24" s="226" t="s">
        <v>655</v>
      </c>
      <c r="H24" s="226" t="s">
        <v>655</v>
      </c>
      <c r="I24" s="226" t="s">
        <v>655</v>
      </c>
      <c r="J24" s="192" t="s">
        <v>655</v>
      </c>
      <c r="K24" s="374" t="s">
        <v>462</v>
      </c>
      <c r="L24" s="383" t="s">
        <v>462</v>
      </c>
      <c r="M24" s="192" t="s">
        <v>462</v>
      </c>
      <c r="N24" s="382" t="s">
        <v>462</v>
      </c>
    </row>
    <row r="25" spans="1:14" ht="15">
      <c r="A25" s="191"/>
      <c r="B25" s="70"/>
      <c r="C25" s="15"/>
      <c r="D25" s="15"/>
      <c r="E25" s="186"/>
      <c r="F25" s="186"/>
      <c r="G25" s="226" t="s">
        <v>656</v>
      </c>
      <c r="H25" s="192" t="s">
        <v>656</v>
      </c>
      <c r="I25" s="192" t="s">
        <v>656</v>
      </c>
      <c r="J25" s="192" t="s">
        <v>656</v>
      </c>
      <c r="K25" s="374" t="s">
        <v>462</v>
      </c>
      <c r="L25" s="383" t="s">
        <v>462</v>
      </c>
      <c r="M25" s="192" t="s">
        <v>462</v>
      </c>
      <c r="N25" s="382" t="s">
        <v>462</v>
      </c>
    </row>
    <row r="26" spans="1:14" ht="15.75" thickBot="1">
      <c r="A26" s="191"/>
      <c r="B26" s="70"/>
      <c r="C26" s="15"/>
      <c r="D26" s="15"/>
      <c r="E26" s="186"/>
      <c r="F26" s="186"/>
      <c r="G26" s="226" t="s">
        <v>657</v>
      </c>
      <c r="H26" s="192" t="s">
        <v>462</v>
      </c>
      <c r="I26" s="192" t="s">
        <v>462</v>
      </c>
      <c r="J26" s="192" t="s">
        <v>657</v>
      </c>
      <c r="K26" s="374" t="s">
        <v>462</v>
      </c>
      <c r="L26" s="384" t="s">
        <v>462</v>
      </c>
      <c r="M26" s="385" t="s">
        <v>462</v>
      </c>
      <c r="N26" s="386" t="s">
        <v>462</v>
      </c>
    </row>
    <row r="27" spans="1:14" ht="15">
      <c r="A27" s="148"/>
      <c r="B27" s="23"/>
      <c r="C27" s="52"/>
      <c r="D27" s="117"/>
      <c r="E27" s="118"/>
      <c r="F27" s="119"/>
      <c r="G27" s="119"/>
      <c r="H27" s="119"/>
      <c r="I27" s="119"/>
      <c r="J27" s="120"/>
      <c r="K27" s="120"/>
      <c r="L27" s="190"/>
      <c r="M27" s="190"/>
      <c r="N27" s="190"/>
    </row>
    <row r="28" spans="1:14" ht="15">
      <c r="A28" s="92" t="s">
        <v>422</v>
      </c>
      <c r="B28" s="52" t="s">
        <v>624</v>
      </c>
      <c r="C28" s="269">
        <v>1</v>
      </c>
      <c r="D28" s="146" t="s">
        <v>658</v>
      </c>
      <c r="E28" s="120"/>
      <c r="F28" s="120"/>
      <c r="G28" s="185" t="s">
        <v>648</v>
      </c>
      <c r="H28" s="45" t="s">
        <v>659</v>
      </c>
      <c r="I28" s="45" t="s">
        <v>660</v>
      </c>
      <c r="J28" s="85" t="s">
        <v>661</v>
      </c>
      <c r="K28" s="85" t="s">
        <v>662</v>
      </c>
      <c r="L28" s="85" t="s">
        <v>663</v>
      </c>
      <c r="M28" s="85" t="s">
        <v>664</v>
      </c>
      <c r="N28" s="85" t="s">
        <v>665</v>
      </c>
    </row>
    <row r="29" spans="1:14" ht="15" customHeight="1">
      <c r="A29" s="180" t="str">
        <f>HLOOKUP($F$29,$G$28:$N$32,2)</f>
        <v>Make selections in sequence please.</v>
      </c>
      <c r="B29" s="103"/>
      <c r="C29" s="45">
        <v>1</v>
      </c>
      <c r="D29" s="37" t="str">
        <f>HLOOKUP($F$29,$G$28:$N$36,6)</f>
        <v>*</v>
      </c>
      <c r="E29" s="187" t="s">
        <v>666</v>
      </c>
      <c r="F29" s="137" t="str">
        <f>CONCATENATE(Nomenclature!C5,Nomenclature!D5,Nomenclature!E5,Nomenclature!F5,Nomenclature!G5)</f>
        <v>K****</v>
      </c>
      <c r="G29" s="193" t="s">
        <v>667</v>
      </c>
      <c r="H29" s="177" t="s">
        <v>626</v>
      </c>
      <c r="I29" s="177" t="s">
        <v>626</v>
      </c>
      <c r="J29" s="177" t="s">
        <v>626</v>
      </c>
      <c r="K29" s="177" t="s">
        <v>626</v>
      </c>
      <c r="L29" s="177" t="s">
        <v>626</v>
      </c>
      <c r="M29" s="177" t="s">
        <v>626</v>
      </c>
      <c r="N29" s="193" t="s">
        <v>423</v>
      </c>
    </row>
    <row r="30" spans="1:14" ht="15">
      <c r="A30" s="180" t="str">
        <f>HLOOKUP($F$29,$G$28:$N$32,3)</f>
        <v> </v>
      </c>
      <c r="B30" s="103"/>
      <c r="C30" s="45">
        <v>2</v>
      </c>
      <c r="D30" s="37" t="str">
        <f>HLOOKUP($F$29,$G$28:$N$36,7)</f>
        <v>*</v>
      </c>
      <c r="E30" s="188"/>
      <c r="F30" s="120"/>
      <c r="G30" s="195" t="s">
        <v>636</v>
      </c>
      <c r="H30" s="82" t="s">
        <v>668</v>
      </c>
      <c r="I30" s="193" t="s">
        <v>669</v>
      </c>
      <c r="J30" s="193" t="s">
        <v>670</v>
      </c>
      <c r="K30" s="193" t="s">
        <v>669</v>
      </c>
      <c r="L30" s="193" t="s">
        <v>671</v>
      </c>
      <c r="M30" s="194" t="s">
        <v>429</v>
      </c>
      <c r="N30" s="195" t="s">
        <v>636</v>
      </c>
    </row>
    <row r="31" spans="1:14" ht="15" customHeight="1">
      <c r="A31" s="180" t="str">
        <f>HLOOKUP($F$29,$G$28:$N$32,4)</f>
        <v> </v>
      </c>
      <c r="B31" s="103"/>
      <c r="C31" s="45">
        <v>3</v>
      </c>
      <c r="D31" s="37" t="str">
        <f>HLOOKUP($F$29,$G$28:$N$36,8)</f>
        <v>*</v>
      </c>
      <c r="E31" s="189"/>
      <c r="F31" s="190"/>
      <c r="G31" s="195" t="s">
        <v>636</v>
      </c>
      <c r="H31" s="193" t="s">
        <v>669</v>
      </c>
      <c r="I31" s="195" t="s">
        <v>636</v>
      </c>
      <c r="J31" s="193" t="s">
        <v>669</v>
      </c>
      <c r="K31" s="195" t="s">
        <v>636</v>
      </c>
      <c r="L31" s="193" t="s">
        <v>672</v>
      </c>
      <c r="M31" s="194" t="s">
        <v>434</v>
      </c>
      <c r="N31" s="195" t="s">
        <v>636</v>
      </c>
    </row>
    <row r="32" spans="1:14" ht="15">
      <c r="A32" s="180" t="str">
        <f>HLOOKUP($F$29,$G$28:$N$32,5)</f>
        <v> </v>
      </c>
      <c r="B32" s="103"/>
      <c r="C32" s="45">
        <v>4</v>
      </c>
      <c r="D32" s="37" t="str">
        <f>HLOOKUP($F$29,$G$28:$N$36,9)</f>
        <v>*</v>
      </c>
      <c r="E32" s="189"/>
      <c r="F32" s="190"/>
      <c r="G32" s="195" t="s">
        <v>636</v>
      </c>
      <c r="H32" s="167" t="s">
        <v>673</v>
      </c>
      <c r="I32" s="195" t="s">
        <v>636</v>
      </c>
      <c r="J32" s="195" t="s">
        <v>636</v>
      </c>
      <c r="K32" s="195" t="s">
        <v>636</v>
      </c>
      <c r="L32" s="195" t="s">
        <v>636</v>
      </c>
      <c r="M32" s="195" t="s">
        <v>636</v>
      </c>
      <c r="N32" s="195" t="s">
        <v>636</v>
      </c>
    </row>
    <row r="33" spans="1:14" ht="15">
      <c r="A33" s="149"/>
      <c r="B33" s="70"/>
      <c r="C33" s="15"/>
      <c r="D33" s="33"/>
      <c r="E33" s="186"/>
      <c r="F33" s="186"/>
      <c r="G33" s="195" t="s">
        <v>462</v>
      </c>
      <c r="H33" s="195" t="s">
        <v>462</v>
      </c>
      <c r="I33" s="195" t="s">
        <v>462</v>
      </c>
      <c r="J33" s="195" t="s">
        <v>462</v>
      </c>
      <c r="K33" s="195" t="s">
        <v>462</v>
      </c>
      <c r="L33" s="195" t="s">
        <v>462</v>
      </c>
      <c r="M33" s="195" t="s">
        <v>462</v>
      </c>
      <c r="N33" s="195" t="s">
        <v>675</v>
      </c>
    </row>
    <row r="34" spans="1:14" ht="15">
      <c r="A34" s="149"/>
      <c r="B34" s="70"/>
      <c r="C34" s="15"/>
      <c r="D34" s="33"/>
      <c r="E34" s="83"/>
      <c r="F34" s="196"/>
      <c r="G34" s="195" t="s">
        <v>462</v>
      </c>
      <c r="H34" s="197" t="s">
        <v>655</v>
      </c>
      <c r="I34" s="197" t="s">
        <v>674</v>
      </c>
      <c r="J34" s="197" t="s">
        <v>656</v>
      </c>
      <c r="K34" s="197" t="s">
        <v>674</v>
      </c>
      <c r="L34" s="197" t="s">
        <v>674</v>
      </c>
      <c r="M34" s="197" t="s">
        <v>656</v>
      </c>
      <c r="N34" s="197" t="s">
        <v>462</v>
      </c>
    </row>
    <row r="35" spans="1:14" ht="15">
      <c r="A35" s="149"/>
      <c r="B35" s="70"/>
      <c r="C35" s="15"/>
      <c r="D35" s="33"/>
      <c r="E35" s="83"/>
      <c r="F35" s="196"/>
      <c r="G35" s="195" t="s">
        <v>462</v>
      </c>
      <c r="H35" s="197" t="s">
        <v>674</v>
      </c>
      <c r="I35" s="197" t="s">
        <v>462</v>
      </c>
      <c r="J35" s="197" t="s">
        <v>674</v>
      </c>
      <c r="K35" s="197" t="s">
        <v>462</v>
      </c>
      <c r="L35" s="197" t="s">
        <v>657</v>
      </c>
      <c r="M35" s="197" t="s">
        <v>674</v>
      </c>
      <c r="N35" s="197" t="s">
        <v>462</v>
      </c>
    </row>
    <row r="36" spans="1:14" ht="15">
      <c r="A36" s="149"/>
      <c r="B36" s="70"/>
      <c r="C36" s="15"/>
      <c r="D36" s="33"/>
      <c r="E36" s="83"/>
      <c r="F36" s="196"/>
      <c r="G36" s="195" t="s">
        <v>462</v>
      </c>
      <c r="H36" s="197" t="s">
        <v>676</v>
      </c>
      <c r="I36" s="197" t="s">
        <v>462</v>
      </c>
      <c r="J36" s="197" t="s">
        <v>462</v>
      </c>
      <c r="K36" s="197" t="s">
        <v>462</v>
      </c>
      <c r="L36" s="197" t="s">
        <v>462</v>
      </c>
      <c r="M36" s="197" t="s">
        <v>462</v>
      </c>
      <c r="N36" s="197" t="s">
        <v>462</v>
      </c>
    </row>
    <row r="37" spans="1:13" ht="15">
      <c r="A37" s="149"/>
      <c r="B37" s="70"/>
      <c r="C37" s="15"/>
      <c r="D37" s="33"/>
      <c r="E37" s="83"/>
      <c r="F37" s="196"/>
      <c r="G37" s="276"/>
      <c r="H37" s="277"/>
      <c r="I37" s="277"/>
      <c r="J37" s="277"/>
      <c r="K37" s="277"/>
      <c r="L37" s="278"/>
      <c r="M37" s="278"/>
    </row>
    <row r="38" spans="1:11" ht="15">
      <c r="A38" s="92" t="s">
        <v>677</v>
      </c>
      <c r="B38" s="80" t="s">
        <v>624</v>
      </c>
      <c r="C38" s="269">
        <v>1</v>
      </c>
      <c r="D38" s="146" t="s">
        <v>678</v>
      </c>
      <c r="E38" s="83"/>
      <c r="F38" s="196"/>
      <c r="G38" s="264"/>
      <c r="H38" s="265"/>
      <c r="I38" s="265"/>
      <c r="J38" s="265"/>
      <c r="K38" s="266"/>
    </row>
    <row r="39" spans="1:11" ht="15">
      <c r="A39" s="180" t="str">
        <f>IF($C$44="KCGG14","Choose ONE of ...",IF(OR($C$44="KCGG24",$C$44="KCGG34"),"3 Inputs - 4 Outputs - Preconfigured with simplified functionality","Generation"))</f>
        <v>Generation</v>
      </c>
      <c r="B39" s="103"/>
      <c r="C39" s="45">
        <v>1</v>
      </c>
      <c r="D39" s="37" t="str">
        <f>IF(OR($C$44="K*****",$C$44="KCGG14"),"*",IF(OR($C$44="KCGG24",$C$44="KCGG34"),1,"2"))</f>
        <v>*</v>
      </c>
      <c r="E39" s="83"/>
      <c r="F39" s="196"/>
      <c r="G39" s="264"/>
      <c r="H39" s="265"/>
      <c r="I39" s="265"/>
      <c r="J39" s="265"/>
      <c r="K39" s="266"/>
    </row>
    <row r="40" spans="1:11" ht="15">
      <c r="A40" s="180">
        <f>IF($C$44="KCGG14","Standard","")</f>
      </c>
      <c r="B40" s="103"/>
      <c r="C40" s="45">
        <v>2</v>
      </c>
      <c r="D40" s="37" t="str">
        <f>IF(OR($C$44="K*****",$C$44="KCGG24",$C$44="KCGG34"),"*","2")</f>
        <v>*</v>
      </c>
      <c r="E40" s="83"/>
      <c r="F40" s="196"/>
      <c r="G40" s="264"/>
      <c r="H40" s="265"/>
      <c r="I40" s="265"/>
      <c r="J40" s="265"/>
      <c r="K40" s="266"/>
    </row>
    <row r="41" spans="1:11" ht="15">
      <c r="A41" s="180">
        <f>IF($C$44="KCGG14","3 Inputs - 4 Outputs","")</f>
      </c>
      <c r="B41" s="103"/>
      <c r="C41" s="45">
        <v>3</v>
      </c>
      <c r="D41" s="37" t="str">
        <f>IF($C$49=4,"1",IF(OR($C$44="K*****",$C$44="KCGG14"),"2","*"))</f>
        <v>2</v>
      </c>
      <c r="E41" s="83"/>
      <c r="F41" s="196"/>
      <c r="G41" s="264"/>
      <c r="H41" s="265"/>
      <c r="I41" s="265"/>
      <c r="J41" s="265"/>
      <c r="K41" s="266"/>
    </row>
    <row r="42" spans="1:11" ht="15">
      <c r="A42" s="180">
        <f>IF($C$44="KCGG14","3 Inputs - 4 Outputs - Preconfigured with simplified functionality","")</f>
      </c>
      <c r="B42" s="103"/>
      <c r="C42" s="45">
        <v>4</v>
      </c>
      <c r="D42" s="37" t="str">
        <f>IF($C$49=4,"1",IF(OR($C$44="K*****",$C$44="KCGG14"),"1","*"))</f>
        <v>1</v>
      </c>
      <c r="E42" s="83"/>
      <c r="F42" s="196"/>
      <c r="G42" s="264"/>
      <c r="H42" s="265"/>
      <c r="I42" s="265"/>
      <c r="J42" s="265"/>
      <c r="K42" s="266"/>
    </row>
    <row r="43" spans="1:11" ht="15">
      <c r="A43" s="149"/>
      <c r="B43" s="70"/>
      <c r="C43" s="15"/>
      <c r="D43" s="33"/>
      <c r="E43" s="83"/>
      <c r="F43" s="196"/>
      <c r="G43" s="229"/>
      <c r="H43" s="227"/>
      <c r="I43" s="227"/>
      <c r="J43" s="227"/>
      <c r="K43" s="228"/>
    </row>
    <row r="44" spans="1:19" ht="15">
      <c r="A44" s="92" t="s">
        <v>679</v>
      </c>
      <c r="B44" s="80" t="s">
        <v>624</v>
      </c>
      <c r="C44" s="164" t="str">
        <f>CONCATENATE(Nomenclature!C5,Nomenclature!D5,Nomenclature!E5,Nomenclature!F5,Nomenclature!G5,Nomenclature!H5)</f>
        <v>K*****</v>
      </c>
      <c r="D44" s="230"/>
      <c r="E44" s="192" t="s">
        <v>680</v>
      </c>
      <c r="F44" s="192" t="s">
        <v>681</v>
      </c>
      <c r="G44" s="192" t="s">
        <v>682</v>
      </c>
      <c r="H44" s="192" t="s">
        <v>683</v>
      </c>
      <c r="I44" s="192" t="s">
        <v>684</v>
      </c>
      <c r="J44" s="192" t="s">
        <v>685</v>
      </c>
      <c r="K44" s="192" t="s">
        <v>686</v>
      </c>
      <c r="L44" s="192" t="s">
        <v>687</v>
      </c>
      <c r="M44" s="192" t="s">
        <v>688</v>
      </c>
      <c r="N44" s="192" t="s">
        <v>689</v>
      </c>
      <c r="O44" s="192" t="s">
        <v>690</v>
      </c>
      <c r="P44" s="192" t="s">
        <v>691</v>
      </c>
      <c r="Q44" s="192" t="s">
        <v>692</v>
      </c>
      <c r="R44" s="192" t="s">
        <v>693</v>
      </c>
      <c r="S44" s="192" t="s">
        <v>231</v>
      </c>
    </row>
    <row r="45" spans="1:19" ht="15">
      <c r="A45" s="231"/>
      <c r="B45" s="15"/>
      <c r="C45" s="232"/>
      <c r="D45" s="232"/>
      <c r="E45" s="58" t="s">
        <v>694</v>
      </c>
      <c r="F45" s="150" t="s">
        <v>674</v>
      </c>
      <c r="G45" s="150" t="s">
        <v>695</v>
      </c>
      <c r="H45" s="150" t="s">
        <v>695</v>
      </c>
      <c r="I45" s="150" t="s">
        <v>696</v>
      </c>
      <c r="J45" s="150" t="s">
        <v>695</v>
      </c>
      <c r="K45" s="150" t="s">
        <v>696</v>
      </c>
      <c r="L45" s="150" t="s">
        <v>674</v>
      </c>
      <c r="M45" s="150" t="s">
        <v>674</v>
      </c>
      <c r="N45" s="150" t="s">
        <v>674</v>
      </c>
      <c r="O45" s="150">
        <v>8</v>
      </c>
      <c r="P45" s="150" t="s">
        <v>696</v>
      </c>
      <c r="Q45" s="150" t="s">
        <v>674</v>
      </c>
      <c r="R45" s="150" t="s">
        <v>695</v>
      </c>
      <c r="S45" s="150" t="s">
        <v>695</v>
      </c>
    </row>
    <row r="46" spans="1:19" ht="15">
      <c r="A46" s="149"/>
      <c r="B46" s="70"/>
      <c r="C46" s="329"/>
      <c r="D46" s="33"/>
      <c r="E46" s="179" t="s">
        <v>462</v>
      </c>
      <c r="F46" s="328" t="str">
        <f aca="true" t="shared" si="0" ref="F46:S46">VLOOKUP($B$549,$B$550:$C$629,2)</f>
        <v>*</v>
      </c>
      <c r="G46" s="328" t="str">
        <f t="shared" si="0"/>
        <v>*</v>
      </c>
      <c r="H46" s="328" t="str">
        <f t="shared" si="0"/>
        <v>*</v>
      </c>
      <c r="I46" s="328" t="str">
        <f t="shared" si="0"/>
        <v>*</v>
      </c>
      <c r="J46" s="328" t="str">
        <f t="shared" si="0"/>
        <v>*</v>
      </c>
      <c r="K46" s="328" t="str">
        <f t="shared" si="0"/>
        <v>*</v>
      </c>
      <c r="L46" s="328" t="str">
        <f t="shared" si="0"/>
        <v>*</v>
      </c>
      <c r="M46" s="328" t="str">
        <f t="shared" si="0"/>
        <v>*</v>
      </c>
      <c r="N46" s="328" t="str">
        <f t="shared" si="0"/>
        <v>*</v>
      </c>
      <c r="O46" s="328" t="str">
        <f t="shared" si="0"/>
        <v>*</v>
      </c>
      <c r="P46" s="328" t="str">
        <f t="shared" si="0"/>
        <v>*</v>
      </c>
      <c r="Q46" s="328" t="str">
        <f t="shared" si="0"/>
        <v>*</v>
      </c>
      <c r="R46" s="328" t="str">
        <f t="shared" si="0"/>
        <v>*</v>
      </c>
      <c r="S46" s="328" t="str">
        <f t="shared" si="0"/>
        <v>*</v>
      </c>
    </row>
    <row r="47" spans="1:19" ht="15">
      <c r="A47" s="149"/>
      <c r="B47" s="70"/>
      <c r="C47" s="329"/>
      <c r="D47" s="33"/>
      <c r="E47" s="75" t="s">
        <v>697</v>
      </c>
      <c r="F47" s="75" t="s">
        <v>698</v>
      </c>
      <c r="G47" s="75" t="s">
        <v>698</v>
      </c>
      <c r="H47" s="75" t="s">
        <v>698</v>
      </c>
      <c r="I47" s="75" t="s">
        <v>698</v>
      </c>
      <c r="J47" s="75" t="s">
        <v>699</v>
      </c>
      <c r="K47" s="75" t="s">
        <v>699</v>
      </c>
      <c r="L47" s="75" t="s">
        <v>698</v>
      </c>
      <c r="M47" s="75" t="s">
        <v>698</v>
      </c>
      <c r="N47" s="75" t="s">
        <v>698</v>
      </c>
      <c r="O47" s="75" t="s">
        <v>698</v>
      </c>
      <c r="P47" s="75" t="s">
        <v>698</v>
      </c>
      <c r="Q47" s="75" t="s">
        <v>698</v>
      </c>
      <c r="R47" s="75" t="s">
        <v>698</v>
      </c>
      <c r="S47" s="75" t="s">
        <v>698</v>
      </c>
    </row>
    <row r="48" spans="1:11" ht="15">
      <c r="A48" s="149"/>
      <c r="B48" s="70"/>
      <c r="C48" s="15"/>
      <c r="D48" s="33"/>
      <c r="E48" s="83"/>
      <c r="F48" s="33"/>
      <c r="G48" s="33"/>
      <c r="H48" s="123"/>
      <c r="I48" s="123"/>
      <c r="J48" s="123"/>
      <c r="K48" s="209"/>
    </row>
    <row r="49" spans="1:11" ht="15">
      <c r="A49" s="92" t="s">
        <v>403</v>
      </c>
      <c r="B49" s="52" t="s">
        <v>624</v>
      </c>
      <c r="C49" s="269">
        <v>1</v>
      </c>
      <c r="D49" s="146" t="s">
        <v>700</v>
      </c>
      <c r="E49" s="224"/>
      <c r="F49" s="119"/>
      <c r="G49" s="119"/>
      <c r="H49" s="119"/>
      <c r="I49" s="119"/>
      <c r="J49" s="225"/>
      <c r="K49" s="120"/>
    </row>
    <row r="50" spans="1:11" ht="15" customHeight="1">
      <c r="A50" s="180" t="str">
        <f>IF(AND($C$44="KCGG14",$C$38&gt;3),"Reduced Input/Output",IF(AND($C$44="KCGG24",$C$38=1),"Reduced Input/Output",IF(AND($C$44="KCGG34",$C$38=1),"Reduced Input/Output","Choose ONE of ...")))</f>
        <v>Choose ONE of ...</v>
      </c>
      <c r="B50" s="274"/>
      <c r="C50" s="45">
        <v>1</v>
      </c>
      <c r="D50" s="180" t="str">
        <f>IF(AND($C$44="KCGG14",$C$38=4),"01",IF($C$44="KCGG24","01",IF($C$44="KCGG34","01","**")))</f>
        <v>**</v>
      </c>
      <c r="E50" s="284"/>
      <c r="F50" s="196"/>
      <c r="G50" s="196"/>
      <c r="H50" s="196"/>
      <c r="I50" s="196"/>
      <c r="J50" s="186"/>
      <c r="K50" s="190"/>
    </row>
    <row r="51" spans="1:11" ht="15" customHeight="1">
      <c r="A51" s="180" t="str">
        <f>IF(AND($C$44="KCGG14",$C$38&gt;3),"Reduced Input/Output, With IEC &amp; ANSI curves",IF($C$44="KCGG24","Reset Thermal/Peak Demand parameters without password",IF($C$44="KCGG34","","Default Settings")))</f>
        <v>Default Settings</v>
      </c>
      <c r="B51" s="274"/>
      <c r="C51" s="45">
        <v>2</v>
      </c>
      <c r="D51" s="180" t="str">
        <f>IF(AND($C$44="KCGG14",$C$38=3),"02",IF(AND($C$44="KCGG14",$C$38=4),"05",IF($C$44="KCGG24","04",IF($C$44="KCGG34","**","01"))))</f>
        <v>01</v>
      </c>
      <c r="E51" s="284"/>
      <c r="F51" s="196"/>
      <c r="G51" s="196"/>
      <c r="H51" s="196"/>
      <c r="I51" s="196"/>
      <c r="J51" s="186"/>
      <c r="K51" s="190"/>
    </row>
    <row r="52" spans="1:11" ht="15" customHeight="1">
      <c r="A52" s="180" t="str">
        <f>IF(AND($C$44="KCGG14",$C$38&gt;3),"",IF($C$44="KCGG24","Shorted Input/Output",IF($C$44="KCGG34","","Customer Defined Settings")))</f>
        <v>Customer Defined Settings</v>
      </c>
      <c r="B52" s="274"/>
      <c r="C52" s="45">
        <v>3</v>
      </c>
      <c r="D52" s="180" t="str">
        <f>IF(AND($C$44="KCGG14",$C$38=3),"XY",IF(AND($C$44="KCGG14",$C$38=4),"**",IF(C44="KCGG24","06",IF($C$44="KCGG34","**","XX"))))</f>
        <v>XX</v>
      </c>
      <c r="E52" s="284"/>
      <c r="F52" s="196"/>
      <c r="G52" s="196"/>
      <c r="H52" s="196"/>
      <c r="I52" s="196"/>
      <c r="J52" s="186"/>
      <c r="K52" s="190"/>
    </row>
    <row r="53" spans="1:11" ht="15">
      <c r="A53" s="180">
        <f>IF(AND($C$44="KCEG14",$C$38&lt;3),"No ANSI Curves, Reset Peak Demand/Thermal Parameters w/o passwords",IF(AND($C$44="KCEG24",$C$38&lt;3),"No ANSI Curves, Reset Peak Demand/Thermal Parameters w/o passwords",IF(AND($C$44="KCGG14",$C$38&lt;3),"No ANSI Curves, with O/C Feature Auxiliary Timer1","")))</f>
      </c>
      <c r="B53" s="293"/>
      <c r="C53" s="45">
        <v>4</v>
      </c>
      <c r="D53" s="210" t="str">
        <f>IF(AND($C$44="KCEG14",$C$38&lt;3),"04",IF(AND($C$44="KCEG24",$C$38&lt;3),"04",IF(AND($C$44="KCGG14",$C$38&lt;3),"03","**")))</f>
        <v>**</v>
      </c>
      <c r="E53" s="196"/>
      <c r="F53" s="196"/>
      <c r="G53" s="264"/>
      <c r="H53" s="265"/>
      <c r="I53" s="265"/>
      <c r="J53" s="265"/>
      <c r="K53" s="266"/>
    </row>
    <row r="54" spans="1:11" ht="15">
      <c r="A54" s="147"/>
      <c r="B54" s="23"/>
      <c r="C54" s="52"/>
      <c r="D54" s="117"/>
      <c r="E54" s="118"/>
      <c r="F54" s="119"/>
      <c r="G54" s="119"/>
      <c r="H54" s="119"/>
      <c r="I54" s="185"/>
      <c r="J54" s="185"/>
      <c r="K54" s="120"/>
    </row>
    <row r="55" spans="1:11" ht="15">
      <c r="A55" s="92" t="s">
        <v>701</v>
      </c>
      <c r="B55" s="52" t="s">
        <v>624</v>
      </c>
      <c r="C55" s="269">
        <v>1</v>
      </c>
      <c r="D55" s="146" t="s">
        <v>702</v>
      </c>
      <c r="E55" s="118"/>
      <c r="F55" s="119"/>
      <c r="G55" s="185" t="s">
        <v>462</v>
      </c>
      <c r="H55" s="185" t="s">
        <v>655</v>
      </c>
      <c r="I55" s="181" t="s">
        <v>656</v>
      </c>
      <c r="J55" s="181" t="s">
        <v>657</v>
      </c>
      <c r="K55" s="190"/>
    </row>
    <row r="56" spans="1:11" ht="15">
      <c r="A56" s="152" t="s">
        <v>378</v>
      </c>
      <c r="B56" s="147"/>
      <c r="C56" s="45"/>
      <c r="D56" s="203" t="s">
        <v>654</v>
      </c>
      <c r="E56" s="118"/>
      <c r="F56" s="137" t="str">
        <f>Nomenclature!$G$5</f>
        <v>*</v>
      </c>
      <c r="G56" s="86"/>
      <c r="H56" s="86"/>
      <c r="I56" s="86"/>
      <c r="J56" s="86"/>
      <c r="K56" s="190"/>
    </row>
    <row r="57" spans="1:11" ht="15">
      <c r="A57" s="180" t="str">
        <f>HLOOKUP($F$56,$G$55:$J$64,3)</f>
        <v>Choose ONE of ...</v>
      </c>
      <c r="B57" s="151">
        <v>1</v>
      </c>
      <c r="C57" s="210" t="str">
        <f>HLOOKUP($F$56,$G$55:$J$64,7)</f>
        <v>*</v>
      </c>
      <c r="D57" s="119"/>
      <c r="E57" s="119"/>
      <c r="F57" s="119"/>
      <c r="G57" s="167" t="s">
        <v>626</v>
      </c>
      <c r="H57" s="167" t="s">
        <v>626</v>
      </c>
      <c r="I57" s="37" t="str">
        <f>IF($B$168="KVGC202","Choose ONE of …","(NOMINAL =100 - 250V) (OPERATIVE = 60 - 300Vdc or 60 - 265Vac)")</f>
        <v>(NOMINAL =100 - 250V) (OPERATIVE = 60 - 300Vdc or 60 - 265Vac)</v>
      </c>
      <c r="J57" s="58" t="s">
        <v>703</v>
      </c>
      <c r="K57" s="190"/>
    </row>
    <row r="58" spans="1:11" ht="15">
      <c r="A58" s="180" t="str">
        <f>HLOOKUP($F$56,$G$55:$J$60,4)</f>
        <v>(NOMINAL = 24 - 125V) (OPERATIVE = 19 - 150Vdc or 50 - 133Vac)</v>
      </c>
      <c r="B58" s="151">
        <v>2</v>
      </c>
      <c r="C58" s="210" t="str">
        <f>HLOOKUP($F$56,$G$55:$J$64,8)</f>
        <v>2</v>
      </c>
      <c r="D58" s="119"/>
      <c r="E58" s="119"/>
      <c r="F58" s="119"/>
      <c r="G58" s="58" t="s">
        <v>704</v>
      </c>
      <c r="H58" s="58" t="s">
        <v>704</v>
      </c>
      <c r="I58" s="37">
        <f>IF($B$168="KVGC202","(NOMINAL = 24 - 125V) (OPERATIVE = 19 - 150Vdc or 50 - 133Vac)","")</f>
      </c>
      <c r="J58" s="150" t="s">
        <v>636</v>
      </c>
      <c r="K58" s="190"/>
    </row>
    <row r="59" spans="1:11" ht="15">
      <c r="A59" s="180" t="str">
        <f>HLOOKUP($F$56,$G$55:$J$60,5)</f>
        <v>(NOMINAL = 48 - 250V) (OPERATIVE = 33 - 300Vdc or 87 - 265Vac)</v>
      </c>
      <c r="B59" s="151">
        <v>3</v>
      </c>
      <c r="C59" s="210" t="str">
        <f>HLOOKUP($F$56,$G$55:$J$64,9)</f>
        <v>5</v>
      </c>
      <c r="D59" s="119"/>
      <c r="E59" s="119"/>
      <c r="F59" s="119"/>
      <c r="G59" s="58" t="s">
        <v>705</v>
      </c>
      <c r="H59" s="58" t="s">
        <v>705</v>
      </c>
      <c r="I59" s="37">
        <f>IF($B$168="KVGC202","(NOMINAL = 48 - 250V) (OPERATIVE = 33 - 300Vdc or 87 - 265Vac)","")</f>
      </c>
      <c r="J59" s="150" t="s">
        <v>636</v>
      </c>
      <c r="K59" s="190"/>
    </row>
    <row r="60" spans="1:11" ht="15">
      <c r="A60" s="180" t="str">
        <f>HLOOKUP($F$56,$G$55:$J$60,6)</f>
        <v>(NOMINAL =100 - 250V) (OPERATIVE = 60 - 300Vdc or 60 - 265Vac)</v>
      </c>
      <c r="B60" s="151">
        <v>4</v>
      </c>
      <c r="C60" s="210" t="str">
        <f>HLOOKUP($F$56,$G$55:$J$64,10)</f>
        <v>9</v>
      </c>
      <c r="D60" s="119"/>
      <c r="E60" s="119"/>
      <c r="F60" s="119"/>
      <c r="G60" s="58" t="s">
        <v>703</v>
      </c>
      <c r="H60" s="150" t="s">
        <v>636</v>
      </c>
      <c r="I60" s="150" t="s">
        <v>636</v>
      </c>
      <c r="J60" s="150" t="s">
        <v>636</v>
      </c>
      <c r="K60" s="190"/>
    </row>
    <row r="61" spans="1:11" ht="15">
      <c r="A61" s="147"/>
      <c r="B61" s="91"/>
      <c r="C61" s="117"/>
      <c r="D61" s="119"/>
      <c r="E61" s="119"/>
      <c r="F61" s="204"/>
      <c r="G61" s="150" t="s">
        <v>462</v>
      </c>
      <c r="H61" s="150" t="s">
        <v>462</v>
      </c>
      <c r="I61" s="388" t="str">
        <f>IF($B$168="KVGC202","*","9")</f>
        <v>9</v>
      </c>
      <c r="J61" s="150" t="s">
        <v>706</v>
      </c>
      <c r="K61" s="190"/>
    </row>
    <row r="62" spans="1:11" ht="15">
      <c r="A62" s="205"/>
      <c r="B62" s="145"/>
      <c r="C62" s="33"/>
      <c r="D62" s="196"/>
      <c r="E62" s="196"/>
      <c r="F62" s="206"/>
      <c r="G62" s="150" t="s">
        <v>656</v>
      </c>
      <c r="H62" s="150" t="s">
        <v>656</v>
      </c>
      <c r="I62" s="388" t="str">
        <f>IF($B$168="KVGC202","2","*")</f>
        <v>*</v>
      </c>
      <c r="J62" s="150" t="s">
        <v>462</v>
      </c>
      <c r="K62" s="190"/>
    </row>
    <row r="63" spans="1:11" ht="15">
      <c r="A63" s="205"/>
      <c r="B63" s="145"/>
      <c r="C63" s="33"/>
      <c r="D63" s="196"/>
      <c r="E63" s="196"/>
      <c r="F63" s="206"/>
      <c r="G63" s="150" t="s">
        <v>676</v>
      </c>
      <c r="H63" s="150" t="s">
        <v>676</v>
      </c>
      <c r="I63" s="388" t="str">
        <f>IF($B$168="KVGC202","5","*")</f>
        <v>*</v>
      </c>
      <c r="J63" s="150" t="s">
        <v>462</v>
      </c>
      <c r="K63" s="190"/>
    </row>
    <row r="64" spans="1:11" ht="15">
      <c r="A64" s="207"/>
      <c r="B64" s="208"/>
      <c r="C64" s="121"/>
      <c r="D64" s="123"/>
      <c r="E64" s="123"/>
      <c r="F64" s="209"/>
      <c r="G64" s="150" t="s">
        <v>706</v>
      </c>
      <c r="H64" s="150" t="s">
        <v>462</v>
      </c>
      <c r="I64" s="150" t="s">
        <v>462</v>
      </c>
      <c r="J64" s="150" t="s">
        <v>462</v>
      </c>
      <c r="K64" s="124"/>
    </row>
    <row r="65" spans="1:12" ht="15">
      <c r="A65" s="140"/>
      <c r="B65" s="215"/>
      <c r="C65" s="79"/>
      <c r="D65" s="64"/>
      <c r="E65" s="216"/>
      <c r="F65" s="217"/>
      <c r="G65" s="217"/>
      <c r="H65" s="217"/>
      <c r="I65" s="217"/>
      <c r="J65" s="213"/>
      <c r="K65" s="213"/>
      <c r="L65" s="214"/>
    </row>
    <row r="66" spans="1:12" ht="15">
      <c r="A66" s="92" t="s">
        <v>368</v>
      </c>
      <c r="B66" s="52" t="s">
        <v>624</v>
      </c>
      <c r="C66" s="269">
        <v>1</v>
      </c>
      <c r="D66" s="146" t="s">
        <v>707</v>
      </c>
      <c r="E66" s="118"/>
      <c r="F66" s="119"/>
      <c r="G66" s="185" t="s">
        <v>708</v>
      </c>
      <c r="H66" s="85" t="s">
        <v>649</v>
      </c>
      <c r="I66" s="85" t="s">
        <v>650</v>
      </c>
      <c r="J66" s="85" t="s">
        <v>651</v>
      </c>
      <c r="K66" s="85" t="s">
        <v>652</v>
      </c>
      <c r="L66" s="85" t="s">
        <v>653</v>
      </c>
    </row>
    <row r="67" spans="1:12" ht="15">
      <c r="A67" s="180" t="str">
        <f>HLOOKUP($F$67,$G$66:$L$70,2)</f>
        <v>Choose ONE of ...</v>
      </c>
      <c r="B67" s="151">
        <v>1</v>
      </c>
      <c r="C67" s="210" t="str">
        <f>HLOOKUP($F$67,$G$66:$L$74,6)</f>
        <v>*</v>
      </c>
      <c r="D67" s="203" t="s">
        <v>709</v>
      </c>
      <c r="E67" s="211"/>
      <c r="F67" s="137" t="str">
        <f>CONCATENATE(Nomenclature!C5,Nomenclature!D5,Nomenclature!E5,Nomenclature!F5)</f>
        <v>K***</v>
      </c>
      <c r="G67" s="168" t="s">
        <v>626</v>
      </c>
      <c r="H67" s="168" t="s">
        <v>626</v>
      </c>
      <c r="I67" s="58" t="s">
        <v>710</v>
      </c>
      <c r="J67" s="58" t="s">
        <v>711</v>
      </c>
      <c r="K67" s="167" t="s">
        <v>626</v>
      </c>
      <c r="L67" s="58" t="s">
        <v>712</v>
      </c>
    </row>
    <row r="68" spans="1:12" ht="15">
      <c r="A68" s="180" t="str">
        <f>HLOOKUP($F$67,$G$66:$L$70,3)</f>
        <v>Zero Vac /50 - 60Hz</v>
      </c>
      <c r="B68" s="151">
        <v>2</v>
      </c>
      <c r="C68" s="210" t="str">
        <f>HLOOKUP($F$67,$G$66:$L$74,7)</f>
        <v>*</v>
      </c>
      <c r="D68" s="33"/>
      <c r="E68" s="83"/>
      <c r="F68" s="196"/>
      <c r="G68" s="58" t="s">
        <v>711</v>
      </c>
      <c r="H68" s="58" t="s">
        <v>712</v>
      </c>
      <c r="I68" s="150" t="s">
        <v>636</v>
      </c>
      <c r="J68" s="212" t="s">
        <v>636</v>
      </c>
      <c r="K68" s="58" t="s">
        <v>712</v>
      </c>
      <c r="L68" s="150" t="s">
        <v>636</v>
      </c>
    </row>
    <row r="69" spans="1:12" ht="15">
      <c r="A69" s="180" t="str">
        <f>HLOOKUP($F$67,$G$66:$L$70,4)</f>
        <v>110Vac / 50 - 60Hz</v>
      </c>
      <c r="B69" s="151">
        <v>3</v>
      </c>
      <c r="C69" s="210" t="str">
        <f>HLOOKUP($F$67,$G$66:$L$74,8)</f>
        <v>*</v>
      </c>
      <c r="D69" s="33"/>
      <c r="E69" s="83"/>
      <c r="F69" s="196"/>
      <c r="G69" s="58" t="s">
        <v>712</v>
      </c>
      <c r="H69" s="58" t="s">
        <v>713</v>
      </c>
      <c r="I69" s="150" t="s">
        <v>636</v>
      </c>
      <c r="J69" s="212" t="s">
        <v>636</v>
      </c>
      <c r="K69" s="58" t="s">
        <v>713</v>
      </c>
      <c r="L69" s="150" t="s">
        <v>636</v>
      </c>
    </row>
    <row r="70" spans="1:12" ht="15">
      <c r="A70" s="180" t="str">
        <f>HLOOKUP($F$67,$G$66:$L$70,5)</f>
        <v>440Vac / 50 - 60Hz</v>
      </c>
      <c r="B70" s="151">
        <v>4</v>
      </c>
      <c r="C70" s="210" t="str">
        <f>HLOOKUP($F$67,$G$66:$L$74,9)</f>
        <v>*</v>
      </c>
      <c r="D70" s="33"/>
      <c r="E70" s="83"/>
      <c r="F70" s="196"/>
      <c r="G70" s="58" t="s">
        <v>713</v>
      </c>
      <c r="H70" s="212" t="s">
        <v>636</v>
      </c>
      <c r="I70" s="212" t="s">
        <v>636</v>
      </c>
      <c r="J70" s="212" t="s">
        <v>636</v>
      </c>
      <c r="K70" s="212" t="s">
        <v>636</v>
      </c>
      <c r="L70" s="212" t="s">
        <v>636</v>
      </c>
    </row>
    <row r="71" spans="1:12" ht="15">
      <c r="A71" s="33"/>
      <c r="B71" s="33"/>
      <c r="C71" s="33"/>
      <c r="D71" s="33"/>
      <c r="E71" s="83"/>
      <c r="F71" s="196"/>
      <c r="G71" s="150" t="s">
        <v>462</v>
      </c>
      <c r="H71" s="150" t="s">
        <v>462</v>
      </c>
      <c r="I71" s="150" t="s">
        <v>655</v>
      </c>
      <c r="J71" s="150" t="s">
        <v>675</v>
      </c>
      <c r="K71" s="150" t="s">
        <v>462</v>
      </c>
      <c r="L71" s="150" t="s">
        <v>655</v>
      </c>
    </row>
    <row r="72" spans="1:12" ht="15">
      <c r="A72" s="33"/>
      <c r="B72" s="33"/>
      <c r="C72" s="33"/>
      <c r="D72" s="33"/>
      <c r="E72" s="83"/>
      <c r="F72" s="196"/>
      <c r="G72" s="150" t="s">
        <v>462</v>
      </c>
      <c r="H72" s="150" t="s">
        <v>655</v>
      </c>
      <c r="I72" s="150" t="s">
        <v>462</v>
      </c>
      <c r="J72" s="150" t="s">
        <v>462</v>
      </c>
      <c r="K72" s="150" t="s">
        <v>655</v>
      </c>
      <c r="L72" s="150" t="s">
        <v>462</v>
      </c>
    </row>
    <row r="73" spans="1:12" ht="15">
      <c r="A73" s="33"/>
      <c r="B73" s="33"/>
      <c r="C73" s="33"/>
      <c r="D73" s="33"/>
      <c r="E73" s="83"/>
      <c r="F73" s="196"/>
      <c r="G73" s="150" t="s">
        <v>462</v>
      </c>
      <c r="H73" s="150" t="s">
        <v>674</v>
      </c>
      <c r="I73" s="150" t="s">
        <v>462</v>
      </c>
      <c r="J73" s="150" t="s">
        <v>462</v>
      </c>
      <c r="K73" s="150" t="s">
        <v>674</v>
      </c>
      <c r="L73" s="150" t="s">
        <v>462</v>
      </c>
    </row>
    <row r="74" spans="1:12" ht="15">
      <c r="A74" s="33"/>
      <c r="B74" s="33"/>
      <c r="C74" s="33"/>
      <c r="D74" s="33"/>
      <c r="E74" s="83"/>
      <c r="F74" s="196"/>
      <c r="G74" s="150" t="s">
        <v>462</v>
      </c>
      <c r="H74" s="150" t="s">
        <v>462</v>
      </c>
      <c r="I74" s="150" t="s">
        <v>462</v>
      </c>
      <c r="J74" s="150" t="s">
        <v>462</v>
      </c>
      <c r="K74" s="150" t="s">
        <v>462</v>
      </c>
      <c r="L74" s="150" t="s">
        <v>462</v>
      </c>
    </row>
    <row r="75" spans="1:11" ht="15">
      <c r="A75" s="33"/>
      <c r="B75" s="33"/>
      <c r="C75" s="33"/>
      <c r="D75" s="33"/>
      <c r="E75" s="83"/>
      <c r="F75" s="196"/>
      <c r="G75" s="196"/>
      <c r="H75" s="196"/>
      <c r="I75" s="196"/>
      <c r="J75" s="196"/>
      <c r="K75" s="120"/>
    </row>
    <row r="76" spans="1:20" ht="15">
      <c r="A76" s="92" t="s">
        <v>714</v>
      </c>
      <c r="B76" s="52" t="s">
        <v>624</v>
      </c>
      <c r="C76" s="269">
        <v>1</v>
      </c>
      <c r="D76" s="146" t="s">
        <v>715</v>
      </c>
      <c r="E76" s="118"/>
      <c r="F76" s="119"/>
      <c r="G76" s="185" t="s">
        <v>708</v>
      </c>
      <c r="H76" s="45" t="s">
        <v>681</v>
      </c>
      <c r="I76" s="85" t="s">
        <v>682</v>
      </c>
      <c r="J76" s="85" t="s">
        <v>683</v>
      </c>
      <c r="K76" s="85" t="s">
        <v>684</v>
      </c>
      <c r="L76" s="85" t="s">
        <v>685</v>
      </c>
      <c r="M76" s="85" t="s">
        <v>686</v>
      </c>
      <c r="N76" s="85" t="s">
        <v>687</v>
      </c>
      <c r="O76" s="85" t="s">
        <v>688</v>
      </c>
      <c r="P76" s="85" t="s">
        <v>690</v>
      </c>
      <c r="Q76" s="85" t="s">
        <v>716</v>
      </c>
      <c r="R76" s="85" t="s">
        <v>691</v>
      </c>
      <c r="S76" s="85" t="s">
        <v>692</v>
      </c>
      <c r="T76" s="85" t="s">
        <v>665</v>
      </c>
    </row>
    <row r="77" spans="1:20" ht="15" customHeight="1">
      <c r="A77" s="180" t="str">
        <f>HLOOKUP($F$77,$G$76:$T$92,2)</f>
        <v>Choose ONE of ...</v>
      </c>
      <c r="B77" s="151">
        <v>1</v>
      </c>
      <c r="C77" s="210" t="str">
        <f>HLOOKUP($F$77,$G$76:$T$92,10)</f>
        <v>*</v>
      </c>
      <c r="D77" s="203" t="s">
        <v>717</v>
      </c>
      <c r="E77" s="211"/>
      <c r="F77" s="137" t="str">
        <f>CONCATENATE(Nomenclature!C5,Nomenclature!D5,Nomenclature!E5,Nomenclature!F5,Nomenclature!G5,Nomenclature!H5)</f>
        <v>K*****</v>
      </c>
      <c r="G77" s="168" t="s">
        <v>626</v>
      </c>
      <c r="H77" s="167" t="s">
        <v>626</v>
      </c>
      <c r="I77" s="167" t="s">
        <v>626</v>
      </c>
      <c r="J77" s="167" t="s">
        <v>626</v>
      </c>
      <c r="K77" s="167" t="s">
        <v>626</v>
      </c>
      <c r="L77" s="167" t="s">
        <v>626</v>
      </c>
      <c r="M77" s="167" t="s">
        <v>626</v>
      </c>
      <c r="N77" s="167" t="s">
        <v>626</v>
      </c>
      <c r="O77" s="167" t="s">
        <v>626</v>
      </c>
      <c r="P77" s="167" t="s">
        <v>626</v>
      </c>
      <c r="Q77" s="167" t="s">
        <v>626</v>
      </c>
      <c r="R77" s="167" t="s">
        <v>626</v>
      </c>
      <c r="S77" s="167" t="s">
        <v>718</v>
      </c>
      <c r="T77" s="218" t="s">
        <v>720</v>
      </c>
    </row>
    <row r="78" spans="1:20" ht="29.25">
      <c r="A78" s="180" t="str">
        <f>HLOOKUP($F$77,$G$76:$T$92,3)</f>
        <v>1 Amp C.T. (0.005xIn to 0.8xIn for Earth Faults) - 'STANDARD'</v>
      </c>
      <c r="B78" s="151">
        <v>2</v>
      </c>
      <c r="C78" s="210" t="str">
        <f>HLOOKUP($F$77,$G$76:$T$92,11)</f>
        <v>C</v>
      </c>
      <c r="D78" s="117"/>
      <c r="E78" s="118"/>
      <c r="F78" s="119"/>
      <c r="G78" s="218" t="s">
        <v>721</v>
      </c>
      <c r="H78" s="219" t="s">
        <v>721</v>
      </c>
      <c r="I78" s="218" t="s">
        <v>721</v>
      </c>
      <c r="J78" s="218" t="s">
        <v>721</v>
      </c>
      <c r="K78" s="218" t="s">
        <v>721</v>
      </c>
      <c r="L78" s="218" t="s">
        <v>722</v>
      </c>
      <c r="M78" s="218" t="s">
        <v>722</v>
      </c>
      <c r="N78" s="218" t="s">
        <v>721</v>
      </c>
      <c r="O78" s="218" t="s">
        <v>721</v>
      </c>
      <c r="P78" s="218" t="s">
        <v>721</v>
      </c>
      <c r="Q78" s="218" t="s">
        <v>721</v>
      </c>
      <c r="R78" s="218" t="s">
        <v>721</v>
      </c>
      <c r="S78" s="197" t="s">
        <v>636</v>
      </c>
      <c r="T78" s="197" t="s">
        <v>636</v>
      </c>
    </row>
    <row r="79" spans="1:20" ht="29.25">
      <c r="A79" s="180" t="str">
        <f>HLOOKUP($F$77,$G$76:$T$92,4)</f>
        <v>1 Amp C.T. (0.02xIn to 3.2xIn for Earth Faults) - 'SPECIAL'</v>
      </c>
      <c r="B79" s="151">
        <v>3</v>
      </c>
      <c r="C79" s="210" t="str">
        <f>HLOOKUP($F$77,$G$76:$T$92,12)</f>
        <v>D</v>
      </c>
      <c r="D79" s="117"/>
      <c r="E79" s="118"/>
      <c r="F79" s="119"/>
      <c r="G79" s="218" t="s">
        <v>723</v>
      </c>
      <c r="H79" s="219" t="s">
        <v>723</v>
      </c>
      <c r="I79" s="218" t="s">
        <v>723</v>
      </c>
      <c r="J79" s="218" t="s">
        <v>723</v>
      </c>
      <c r="K79" s="218" t="s">
        <v>724</v>
      </c>
      <c r="L79" s="218" t="s">
        <v>725</v>
      </c>
      <c r="M79" s="218" t="s">
        <v>725</v>
      </c>
      <c r="N79" s="218" t="s">
        <v>723</v>
      </c>
      <c r="O79" s="218" t="s">
        <v>723</v>
      </c>
      <c r="P79" s="218" t="s">
        <v>724</v>
      </c>
      <c r="Q79" s="218" t="s">
        <v>724</v>
      </c>
      <c r="R79" s="218" t="s">
        <v>724</v>
      </c>
      <c r="S79" s="197" t="s">
        <v>636</v>
      </c>
      <c r="T79" s="197" t="s">
        <v>636</v>
      </c>
    </row>
    <row r="80" spans="1:20" ht="15">
      <c r="A80" s="180" t="str">
        <f>HLOOKUP($F$77,$G$76:$T$92,5)</f>
        <v>5 Amp C.T. (0.005xIn to 0.8xIn for Earth Faults) - 'STANDARD'</v>
      </c>
      <c r="B80" s="151">
        <v>4</v>
      </c>
      <c r="C80" s="210" t="str">
        <f>HLOOKUP($F$77,$G$76:$T$92,13)</f>
        <v>E</v>
      </c>
      <c r="D80" s="117"/>
      <c r="E80" s="118"/>
      <c r="F80" s="119"/>
      <c r="G80" s="218" t="s">
        <v>724</v>
      </c>
      <c r="H80" s="219" t="s">
        <v>724</v>
      </c>
      <c r="I80" s="218" t="s">
        <v>724</v>
      </c>
      <c r="J80" s="218" t="s">
        <v>724</v>
      </c>
      <c r="K80" s="223" t="s">
        <v>636</v>
      </c>
      <c r="L80" s="219" t="s">
        <v>728</v>
      </c>
      <c r="M80" s="150" t="s">
        <v>636</v>
      </c>
      <c r="N80" s="218" t="s">
        <v>724</v>
      </c>
      <c r="O80" s="218" t="s">
        <v>724</v>
      </c>
      <c r="P80" s="223" t="s">
        <v>636</v>
      </c>
      <c r="Q80" s="223" t="s">
        <v>636</v>
      </c>
      <c r="R80" s="223" t="s">
        <v>636</v>
      </c>
      <c r="S80" s="197" t="s">
        <v>636</v>
      </c>
      <c r="T80" s="197" t="s">
        <v>636</v>
      </c>
    </row>
    <row r="81" spans="1:20" ht="15">
      <c r="A81" s="180" t="str">
        <f>HLOOKUP($F$77,$G$76:$T$92,6)</f>
        <v>5 Amp C.T. (0.02xIn to 3.2xIn for Earth Faults) - 'SPECIAL'</v>
      </c>
      <c r="B81" s="151">
        <v>5</v>
      </c>
      <c r="C81" s="210" t="str">
        <f>HLOOKUP($F$77,$G$76:$T$92,14)</f>
        <v>F</v>
      </c>
      <c r="D81" s="117"/>
      <c r="E81" s="118"/>
      <c r="F81" s="119"/>
      <c r="G81" s="218" t="s">
        <v>729</v>
      </c>
      <c r="H81" s="219" t="s">
        <v>729</v>
      </c>
      <c r="I81" s="218" t="s">
        <v>729</v>
      </c>
      <c r="J81" s="218" t="s">
        <v>729</v>
      </c>
      <c r="K81" s="223" t="s">
        <v>636</v>
      </c>
      <c r="L81" s="150" t="s">
        <v>636</v>
      </c>
      <c r="M81" s="150" t="s">
        <v>636</v>
      </c>
      <c r="N81" s="218" t="s">
        <v>729</v>
      </c>
      <c r="O81" s="218" t="s">
        <v>729</v>
      </c>
      <c r="P81" s="223" t="s">
        <v>636</v>
      </c>
      <c r="Q81" s="223" t="s">
        <v>636</v>
      </c>
      <c r="R81" s="223" t="s">
        <v>636</v>
      </c>
      <c r="S81" s="197" t="s">
        <v>636</v>
      </c>
      <c r="T81" s="197" t="s">
        <v>636</v>
      </c>
    </row>
    <row r="82" spans="1:20" ht="15">
      <c r="A82" s="180" t="str">
        <f>HLOOKUP($F$77,$G$76:$T$92,7)</f>
        <v>1 Amp &amp; 5 Amp Software Selectable</v>
      </c>
      <c r="B82" s="151">
        <v>6</v>
      </c>
      <c r="C82" s="210" t="str">
        <f>HLOOKUP($F$77,$G$76:$T$92,15)</f>
        <v>G</v>
      </c>
      <c r="D82" s="117"/>
      <c r="E82" s="118"/>
      <c r="F82" s="119"/>
      <c r="G82" s="218" t="s">
        <v>720</v>
      </c>
      <c r="H82" s="219" t="s">
        <v>722</v>
      </c>
      <c r="I82" s="150" t="s">
        <v>636</v>
      </c>
      <c r="J82" s="218" t="s">
        <v>722</v>
      </c>
      <c r="K82" s="150" t="s">
        <v>636</v>
      </c>
      <c r="L82" s="150" t="s">
        <v>636</v>
      </c>
      <c r="M82" s="150" t="s">
        <v>636</v>
      </c>
      <c r="N82" s="150" t="s">
        <v>636</v>
      </c>
      <c r="O82" s="150" t="s">
        <v>636</v>
      </c>
      <c r="P82" s="150" t="s">
        <v>636</v>
      </c>
      <c r="Q82" s="150" t="s">
        <v>636</v>
      </c>
      <c r="R82" s="150" t="s">
        <v>636</v>
      </c>
      <c r="S82" s="197" t="s">
        <v>636</v>
      </c>
      <c r="T82" s="197" t="s">
        <v>636</v>
      </c>
    </row>
    <row r="83" spans="1:20" ht="15">
      <c r="A83" s="180" t="str">
        <f>HLOOKUP($F$77,$G$76:$T$92,8)</f>
        <v>1 Amp C.T. (0.001xIn to 0.16xIn for Earth Faults) - 'SENSITIVE'</v>
      </c>
      <c r="B83" s="151">
        <v>7</v>
      </c>
      <c r="C83" s="210" t="str">
        <f>HLOOKUP($F$77,$G$76:$T$92,16)</f>
        <v>L</v>
      </c>
      <c r="D83" s="117"/>
      <c r="E83" s="118"/>
      <c r="F83" s="119"/>
      <c r="G83" s="218" t="s">
        <v>722</v>
      </c>
      <c r="H83" s="219" t="s">
        <v>725</v>
      </c>
      <c r="I83" s="150" t="s">
        <v>636</v>
      </c>
      <c r="J83" s="218" t="s">
        <v>725</v>
      </c>
      <c r="K83" s="150" t="s">
        <v>636</v>
      </c>
      <c r="L83" s="150" t="s">
        <v>636</v>
      </c>
      <c r="M83" s="150" t="s">
        <v>636</v>
      </c>
      <c r="N83" s="150" t="s">
        <v>636</v>
      </c>
      <c r="O83" s="150" t="s">
        <v>636</v>
      </c>
      <c r="P83" s="150" t="s">
        <v>636</v>
      </c>
      <c r="Q83" s="150" t="s">
        <v>636</v>
      </c>
      <c r="R83" s="150" t="s">
        <v>636</v>
      </c>
      <c r="S83" s="197" t="s">
        <v>636</v>
      </c>
      <c r="T83" s="197" t="s">
        <v>636</v>
      </c>
    </row>
    <row r="84" spans="1:20" ht="15">
      <c r="A84" s="180" t="str">
        <f>HLOOKUP($F$77,$G$76:$T$92,9)</f>
        <v>5 Amp C.T. (0.001xIn to 0.16xIn for Earth Faults) - 'SENSITIVE'</v>
      </c>
      <c r="B84" s="151">
        <v>8</v>
      </c>
      <c r="C84" s="210" t="str">
        <f>HLOOKUP($F$77,$G$76:$T$92,17)</f>
        <v>M</v>
      </c>
      <c r="D84" s="117"/>
      <c r="E84" s="118"/>
      <c r="F84" s="119"/>
      <c r="G84" s="218" t="s">
        <v>725</v>
      </c>
      <c r="H84" s="220" t="s">
        <v>636</v>
      </c>
      <c r="I84" s="150" t="s">
        <v>636</v>
      </c>
      <c r="J84" s="219" t="s">
        <v>728</v>
      </c>
      <c r="K84" s="150" t="s">
        <v>636</v>
      </c>
      <c r="L84" s="150" t="s">
        <v>636</v>
      </c>
      <c r="M84" s="150" t="s">
        <v>636</v>
      </c>
      <c r="N84" s="150" t="s">
        <v>636</v>
      </c>
      <c r="O84" s="150" t="s">
        <v>636</v>
      </c>
      <c r="P84" s="150" t="s">
        <v>636</v>
      </c>
      <c r="Q84" s="150" t="s">
        <v>636</v>
      </c>
      <c r="R84" s="150" t="s">
        <v>636</v>
      </c>
      <c r="S84" s="197" t="s">
        <v>636</v>
      </c>
      <c r="T84" s="197" t="s">
        <v>636</v>
      </c>
    </row>
    <row r="85" spans="1:20" ht="15">
      <c r="A85" s="155"/>
      <c r="B85" s="91"/>
      <c r="C85" s="117"/>
      <c r="D85" s="117"/>
      <c r="E85" s="118"/>
      <c r="F85" s="204"/>
      <c r="G85" s="223" t="s">
        <v>462</v>
      </c>
      <c r="H85" s="223" t="s">
        <v>462</v>
      </c>
      <c r="I85" s="223" t="s">
        <v>462</v>
      </c>
      <c r="J85" s="223" t="s">
        <v>462</v>
      </c>
      <c r="K85" s="223" t="s">
        <v>462</v>
      </c>
      <c r="L85" s="223" t="s">
        <v>462</v>
      </c>
      <c r="M85" s="223" t="s">
        <v>462</v>
      </c>
      <c r="N85" s="223" t="s">
        <v>462</v>
      </c>
      <c r="O85" s="223" t="s">
        <v>462</v>
      </c>
      <c r="P85" s="223" t="s">
        <v>462</v>
      </c>
      <c r="Q85" s="223" t="s">
        <v>462</v>
      </c>
      <c r="R85" s="223" t="s">
        <v>462</v>
      </c>
      <c r="S85" s="218" t="s">
        <v>352</v>
      </c>
      <c r="T85" s="218" t="s">
        <v>344</v>
      </c>
    </row>
    <row r="86" spans="1:20" ht="15">
      <c r="A86" s="221"/>
      <c r="B86" s="145"/>
      <c r="C86" s="33"/>
      <c r="D86" s="33"/>
      <c r="E86" s="83"/>
      <c r="F86" s="206"/>
      <c r="G86" s="218" t="s">
        <v>354</v>
      </c>
      <c r="H86" s="218" t="s">
        <v>354</v>
      </c>
      <c r="I86" s="218" t="s">
        <v>354</v>
      </c>
      <c r="J86" s="218" t="s">
        <v>354</v>
      </c>
      <c r="K86" s="218" t="s">
        <v>354</v>
      </c>
      <c r="L86" s="218" t="s">
        <v>362</v>
      </c>
      <c r="M86" s="218" t="s">
        <v>362</v>
      </c>
      <c r="N86" s="218" t="s">
        <v>354</v>
      </c>
      <c r="O86" s="218" t="s">
        <v>354</v>
      </c>
      <c r="P86" s="218" t="s">
        <v>354</v>
      </c>
      <c r="Q86" s="218" t="s">
        <v>354</v>
      </c>
      <c r="R86" s="218" t="s">
        <v>354</v>
      </c>
      <c r="S86" s="223" t="s">
        <v>462</v>
      </c>
      <c r="T86" s="223" t="s">
        <v>462</v>
      </c>
    </row>
    <row r="87" spans="1:20" ht="15">
      <c r="A87" s="221"/>
      <c r="B87" s="145"/>
      <c r="C87" s="33"/>
      <c r="D87" s="33"/>
      <c r="E87" s="83"/>
      <c r="F87" s="206"/>
      <c r="G87" s="218" t="s">
        <v>356</v>
      </c>
      <c r="H87" s="218" t="s">
        <v>356</v>
      </c>
      <c r="I87" s="218" t="s">
        <v>356</v>
      </c>
      <c r="J87" s="218" t="s">
        <v>356</v>
      </c>
      <c r="K87" s="218" t="s">
        <v>348</v>
      </c>
      <c r="L87" s="218" t="s">
        <v>364</v>
      </c>
      <c r="M87" s="218" t="s">
        <v>364</v>
      </c>
      <c r="N87" s="218" t="s">
        <v>356</v>
      </c>
      <c r="O87" s="218" t="s">
        <v>356</v>
      </c>
      <c r="P87" s="218" t="s">
        <v>348</v>
      </c>
      <c r="Q87" s="218" t="s">
        <v>348</v>
      </c>
      <c r="R87" s="218" t="s">
        <v>348</v>
      </c>
      <c r="S87" s="223" t="s">
        <v>462</v>
      </c>
      <c r="T87" s="223" t="s">
        <v>462</v>
      </c>
    </row>
    <row r="88" spans="1:20" ht="15">
      <c r="A88" s="221"/>
      <c r="B88" s="145"/>
      <c r="C88" s="33"/>
      <c r="D88" s="33"/>
      <c r="E88" s="83"/>
      <c r="F88" s="206"/>
      <c r="G88" s="218" t="s">
        <v>348</v>
      </c>
      <c r="H88" s="218" t="s">
        <v>348</v>
      </c>
      <c r="I88" s="218" t="s">
        <v>348</v>
      </c>
      <c r="J88" s="218" t="s">
        <v>348</v>
      </c>
      <c r="K88" s="223" t="s">
        <v>462</v>
      </c>
      <c r="L88" s="218" t="s">
        <v>367</v>
      </c>
      <c r="M88" s="223" t="s">
        <v>462</v>
      </c>
      <c r="N88" s="218" t="s">
        <v>348</v>
      </c>
      <c r="O88" s="218" t="s">
        <v>348</v>
      </c>
      <c r="P88" s="223" t="s">
        <v>462</v>
      </c>
      <c r="Q88" s="223" t="s">
        <v>462</v>
      </c>
      <c r="R88" s="223" t="s">
        <v>462</v>
      </c>
      <c r="S88" s="223" t="s">
        <v>462</v>
      </c>
      <c r="T88" s="223" t="s">
        <v>462</v>
      </c>
    </row>
    <row r="89" spans="1:20" ht="15">
      <c r="A89" s="221"/>
      <c r="B89" s="145"/>
      <c r="C89" s="33"/>
      <c r="D89" s="33"/>
      <c r="E89" s="83"/>
      <c r="F89" s="206"/>
      <c r="G89" s="218" t="s">
        <v>346</v>
      </c>
      <c r="H89" s="218" t="s">
        <v>346</v>
      </c>
      <c r="I89" s="218" t="s">
        <v>346</v>
      </c>
      <c r="J89" s="218" t="s">
        <v>346</v>
      </c>
      <c r="K89" s="223" t="s">
        <v>462</v>
      </c>
      <c r="L89" s="223" t="s">
        <v>462</v>
      </c>
      <c r="M89" s="223" t="s">
        <v>462</v>
      </c>
      <c r="N89" s="218" t="s">
        <v>346</v>
      </c>
      <c r="O89" s="218" t="s">
        <v>346</v>
      </c>
      <c r="P89" s="223" t="s">
        <v>462</v>
      </c>
      <c r="Q89" s="223" t="s">
        <v>462</v>
      </c>
      <c r="R89" s="223" t="s">
        <v>462</v>
      </c>
      <c r="S89" s="223" t="s">
        <v>462</v>
      </c>
      <c r="T89" s="223" t="s">
        <v>462</v>
      </c>
    </row>
    <row r="90" spans="1:20" ht="15">
      <c r="A90" s="221"/>
      <c r="B90" s="145"/>
      <c r="C90" s="33"/>
      <c r="D90" s="33"/>
      <c r="E90" s="83"/>
      <c r="F90" s="206"/>
      <c r="G90" s="218" t="s">
        <v>344</v>
      </c>
      <c r="H90" s="218" t="s">
        <v>362</v>
      </c>
      <c r="I90" s="223" t="s">
        <v>462</v>
      </c>
      <c r="J90" s="218" t="s">
        <v>362</v>
      </c>
      <c r="K90" s="223" t="s">
        <v>462</v>
      </c>
      <c r="L90" s="223" t="s">
        <v>462</v>
      </c>
      <c r="M90" s="223" t="s">
        <v>462</v>
      </c>
      <c r="N90" s="223" t="s">
        <v>462</v>
      </c>
      <c r="O90" s="223" t="s">
        <v>462</v>
      </c>
      <c r="P90" s="223" t="s">
        <v>462</v>
      </c>
      <c r="Q90" s="223" t="s">
        <v>462</v>
      </c>
      <c r="R90" s="223" t="s">
        <v>462</v>
      </c>
      <c r="S90" s="223" t="s">
        <v>462</v>
      </c>
      <c r="T90" s="223" t="s">
        <v>462</v>
      </c>
    </row>
    <row r="91" spans="1:20" ht="15">
      <c r="A91" s="221"/>
      <c r="B91" s="145"/>
      <c r="C91" s="33"/>
      <c r="D91" s="33"/>
      <c r="E91" s="83"/>
      <c r="F91" s="206"/>
      <c r="G91" s="218" t="s">
        <v>362</v>
      </c>
      <c r="H91" s="218" t="s">
        <v>364</v>
      </c>
      <c r="I91" s="223" t="s">
        <v>462</v>
      </c>
      <c r="J91" s="218" t="s">
        <v>364</v>
      </c>
      <c r="K91" s="223" t="s">
        <v>462</v>
      </c>
      <c r="L91" s="223" t="s">
        <v>462</v>
      </c>
      <c r="M91" s="223" t="s">
        <v>462</v>
      </c>
      <c r="N91" s="223" t="s">
        <v>462</v>
      </c>
      <c r="O91" s="223" t="s">
        <v>462</v>
      </c>
      <c r="P91" s="223" t="s">
        <v>462</v>
      </c>
      <c r="Q91" s="223" t="s">
        <v>462</v>
      </c>
      <c r="R91" s="223" t="s">
        <v>462</v>
      </c>
      <c r="S91" s="223" t="s">
        <v>462</v>
      </c>
      <c r="T91" s="223" t="s">
        <v>462</v>
      </c>
    </row>
    <row r="92" spans="1:20" ht="15">
      <c r="A92" s="222"/>
      <c r="B92" s="208"/>
      <c r="C92" s="121"/>
      <c r="D92" s="121"/>
      <c r="E92" s="122"/>
      <c r="F92" s="209"/>
      <c r="G92" s="167" t="s">
        <v>364</v>
      </c>
      <c r="H92" s="197" t="s">
        <v>462</v>
      </c>
      <c r="I92" s="223" t="s">
        <v>462</v>
      </c>
      <c r="J92" s="167" t="s">
        <v>367</v>
      </c>
      <c r="K92" s="197" t="s">
        <v>462</v>
      </c>
      <c r="L92" s="223" t="s">
        <v>462</v>
      </c>
      <c r="M92" s="223" t="s">
        <v>462</v>
      </c>
      <c r="N92" s="223" t="s">
        <v>462</v>
      </c>
      <c r="O92" s="223" t="s">
        <v>462</v>
      </c>
      <c r="P92" s="223" t="s">
        <v>462</v>
      </c>
      <c r="Q92" s="223" t="s">
        <v>462</v>
      </c>
      <c r="R92" s="223" t="s">
        <v>462</v>
      </c>
      <c r="S92" s="223" t="s">
        <v>462</v>
      </c>
      <c r="T92" s="223" t="s">
        <v>462</v>
      </c>
    </row>
    <row r="93" spans="1:11" ht="15">
      <c r="A93" s="155"/>
      <c r="B93" s="91"/>
      <c r="C93" s="52"/>
      <c r="D93" s="117"/>
      <c r="E93" s="118"/>
      <c r="F93" s="119"/>
      <c r="G93" s="119"/>
      <c r="H93" s="119"/>
      <c r="I93" s="119"/>
      <c r="J93" s="120"/>
      <c r="K93" s="120"/>
    </row>
    <row r="94" spans="1:11" ht="15">
      <c r="A94" s="92" t="s">
        <v>340</v>
      </c>
      <c r="B94" s="52" t="s">
        <v>624</v>
      </c>
      <c r="C94" s="269">
        <v>1</v>
      </c>
      <c r="D94" s="146" t="s">
        <v>730</v>
      </c>
      <c r="E94" s="118"/>
      <c r="F94" s="119"/>
      <c r="G94" s="119"/>
      <c r="H94" s="119"/>
      <c r="I94" s="119"/>
      <c r="J94" s="120"/>
      <c r="K94" s="120"/>
    </row>
    <row r="95" spans="1:11" ht="15">
      <c r="A95" s="368" t="str">
        <f>IF($C$44="KCGG33","English","Choose ONE of ..")</f>
        <v>Choose ONE of ..</v>
      </c>
      <c r="B95" s="151">
        <v>1</v>
      </c>
      <c r="C95" s="369" t="str">
        <f>IF($C$44="KCGG33","E","*")</f>
        <v>*</v>
      </c>
      <c r="D95" s="154"/>
      <c r="E95" s="118"/>
      <c r="F95" s="119"/>
      <c r="G95" s="119"/>
      <c r="H95" s="119"/>
      <c r="I95" s="119"/>
      <c r="J95" s="120"/>
      <c r="K95" s="120"/>
    </row>
    <row r="96" spans="1:11" ht="15">
      <c r="A96" s="368" t="str">
        <f>IF($C$44="KCGG33","","English")</f>
        <v>English</v>
      </c>
      <c r="B96" s="151">
        <v>2</v>
      </c>
      <c r="C96" s="369" t="s">
        <v>348</v>
      </c>
      <c r="D96" s="117"/>
      <c r="E96" s="118"/>
      <c r="F96" s="119"/>
      <c r="G96" s="119"/>
      <c r="H96" s="119"/>
      <c r="I96" s="119"/>
      <c r="J96" s="120"/>
      <c r="K96" s="120"/>
    </row>
    <row r="97" spans="1:11" ht="15">
      <c r="A97" s="368" t="str">
        <f>IF($C$44="KCGG33","","French")</f>
        <v>French</v>
      </c>
      <c r="B97" s="151">
        <v>3</v>
      </c>
      <c r="C97" s="369" t="str">
        <f>IF($C$44="KCGG33","E","F")</f>
        <v>F</v>
      </c>
      <c r="D97" s="117"/>
      <c r="E97" s="118"/>
      <c r="F97" s="119"/>
      <c r="G97" s="119"/>
      <c r="H97" s="119"/>
      <c r="I97" s="119"/>
      <c r="J97" s="120"/>
      <c r="K97" s="120"/>
    </row>
    <row r="98" spans="1:11" ht="15">
      <c r="A98" s="368" t="str">
        <f>IF(OR($C$38=4,$C$44="KCGG33"),"","German")</f>
        <v>German</v>
      </c>
      <c r="B98" s="151">
        <v>4</v>
      </c>
      <c r="C98" s="369" t="str">
        <f>IF(OR($C$38=4,$C$44="KCGG33"),"E","G")</f>
        <v>G</v>
      </c>
      <c r="D98" s="117"/>
      <c r="E98" s="118"/>
      <c r="F98" s="119"/>
      <c r="G98" s="119"/>
      <c r="H98" s="119"/>
      <c r="I98" s="119"/>
      <c r="J98" s="120"/>
      <c r="K98" s="120"/>
    </row>
    <row r="99" spans="1:11" ht="15">
      <c r="A99" s="368" t="str">
        <f>IF(OR($C$38=4,$C$44="KCGG33"),"","Spanish")</f>
        <v>Spanish</v>
      </c>
      <c r="B99" s="151">
        <v>5</v>
      </c>
      <c r="C99" s="369" t="str">
        <f>IF(OR($C$38=4,$C$44="KCGG33"),"E","S")</f>
        <v>S</v>
      </c>
      <c r="D99" s="117"/>
      <c r="E99" s="118"/>
      <c r="F99" s="119"/>
      <c r="G99" s="119"/>
      <c r="H99" s="119"/>
      <c r="I99" s="119"/>
      <c r="J99" s="120"/>
      <c r="K99" s="120"/>
    </row>
    <row r="100" spans="1:11" ht="15">
      <c r="A100" s="61"/>
      <c r="B100" s="23"/>
      <c r="C100" s="117"/>
      <c r="D100" s="18"/>
      <c r="E100" s="118"/>
      <c r="F100" s="119"/>
      <c r="G100" s="119"/>
      <c r="H100" s="119"/>
      <c r="I100" s="119"/>
      <c r="J100" s="120"/>
      <c r="K100" s="120"/>
    </row>
    <row r="101" spans="1:11" ht="15">
      <c r="A101" s="61" t="s">
        <v>731</v>
      </c>
      <c r="B101" s="23"/>
      <c r="C101" s="117"/>
      <c r="D101" s="18"/>
      <c r="E101" s="118"/>
      <c r="F101" s="119"/>
      <c r="G101" s="204"/>
      <c r="H101" s="119"/>
      <c r="I101" s="119"/>
      <c r="J101" s="120"/>
      <c r="K101" s="120"/>
    </row>
    <row r="102" spans="1:11" ht="15">
      <c r="A102" s="237" t="s">
        <v>732</v>
      </c>
      <c r="B102" s="137" t="str">
        <f>CONCATENATE(Nomenclature!C5,Nomenclature!D5,Nomenclature!E5,Nomenclature!F5,Nomenclature!G5,Nomenclature!H5,Nomenclature!N5)</f>
        <v>K******</v>
      </c>
      <c r="C102" s="33"/>
      <c r="D102" s="4"/>
      <c r="E102" s="83"/>
      <c r="F102" s="196"/>
      <c r="G102" s="206"/>
      <c r="H102" s="196"/>
      <c r="I102" s="196"/>
      <c r="J102" s="190"/>
      <c r="K102" s="190"/>
    </row>
    <row r="103" spans="1:11" ht="15">
      <c r="A103" s="61"/>
      <c r="B103" s="238" t="s">
        <v>733</v>
      </c>
      <c r="C103" s="239" t="s">
        <v>734</v>
      </c>
      <c r="D103" s="239" t="s">
        <v>735</v>
      </c>
      <c r="E103" s="240" t="s">
        <v>636</v>
      </c>
      <c r="F103" s="240" t="s">
        <v>636</v>
      </c>
      <c r="G103" s="240" t="s">
        <v>636</v>
      </c>
      <c r="H103" s="241" t="s">
        <v>636</v>
      </c>
      <c r="I103" s="196"/>
      <c r="J103" s="190"/>
      <c r="K103" s="190"/>
    </row>
    <row r="104" spans="1:11" ht="15">
      <c r="A104" s="61"/>
      <c r="B104" s="238" t="s">
        <v>736</v>
      </c>
      <c r="C104" s="239" t="s">
        <v>734</v>
      </c>
      <c r="D104" s="239" t="s">
        <v>737</v>
      </c>
      <c r="E104" s="240" t="s">
        <v>636</v>
      </c>
      <c r="F104" s="239" t="s">
        <v>738</v>
      </c>
      <c r="G104" s="285" t="str">
        <f>IF(Nomenclature!$K$5="D","HOUSED IN A SIZE 4 MIDOS CASE","HOUSED IN A SIZE 4 CASE")</f>
        <v>HOUSED IN A SIZE 4 CASE</v>
      </c>
      <c r="H104" s="242" t="s">
        <v>636</v>
      </c>
      <c r="I104" s="196"/>
      <c r="J104" s="190"/>
      <c r="K104" s="190"/>
    </row>
    <row r="105" spans="1:11" ht="15">
      <c r="A105" s="61"/>
      <c r="B105" s="238" t="s">
        <v>739</v>
      </c>
      <c r="C105" s="239" t="s">
        <v>734</v>
      </c>
      <c r="D105" s="239" t="s">
        <v>740</v>
      </c>
      <c r="E105" s="239" t="s">
        <v>738</v>
      </c>
      <c r="F105" s="285">
        <f>IF(Nomenclature!$J$5="04","NO ANSI CURVES, RESET PEAK DEMAND/THERMAL PARAMETERS","")</f>
      </c>
      <c r="G105" s="285" t="str">
        <f>IF(Nomenclature!$J$5="04","WITHOUT PASSWORD PROTECTION. HOUSED IN SIZE 6 CASE.",IF(AND(Nomenclature!$J$5&lt;&gt;"04",Nomenclature!$K$5="F"),"HOUSED IN A SIZE 6 MIDOS CASE","HOUSED IN A SIZE 6 CASE"))</f>
        <v>HOUSED IN A SIZE 6 CASE</v>
      </c>
      <c r="H105" s="242" t="s">
        <v>636</v>
      </c>
      <c r="I105" s="196"/>
      <c r="J105" s="190"/>
      <c r="K105" s="190"/>
    </row>
    <row r="106" spans="1:11" ht="15">
      <c r="A106" s="61"/>
      <c r="B106" s="238" t="s">
        <v>741</v>
      </c>
      <c r="C106" s="239" t="s">
        <v>734</v>
      </c>
      <c r="D106" s="239" t="s">
        <v>737</v>
      </c>
      <c r="E106" s="239" t="s">
        <v>742</v>
      </c>
      <c r="F106" s="239" t="s">
        <v>743</v>
      </c>
      <c r="G106" s="285" t="str">
        <f>IF(Nomenclature!$K$5="F","HOUSED IN A SIZE 6 MIDOS CASE","HOUSED IN A SIZE 6 CASE")</f>
        <v>HOUSED IN A SIZE 6 CASE</v>
      </c>
      <c r="H106" s="242" t="s">
        <v>636</v>
      </c>
      <c r="I106" s="196"/>
      <c r="J106" s="190"/>
      <c r="K106" s="190"/>
    </row>
    <row r="107" spans="1:11" ht="15">
      <c r="A107" s="61"/>
      <c r="B107" s="238" t="s">
        <v>744</v>
      </c>
      <c r="C107" s="239" t="s">
        <v>734</v>
      </c>
      <c r="D107" s="239" t="s">
        <v>745</v>
      </c>
      <c r="E107" s="239" t="s">
        <v>746</v>
      </c>
      <c r="F107" s="239" t="s">
        <v>747</v>
      </c>
      <c r="G107" s="285" t="str">
        <f>IF(Nomenclature!$K$5="F","HOUSED IN A SIZE 6 MIDOS CASE","HOUSED IN A SIZE 6 CASE")</f>
        <v>HOUSED IN A SIZE 6 CASE</v>
      </c>
      <c r="H107" s="242" t="s">
        <v>636</v>
      </c>
      <c r="I107" s="196"/>
      <c r="J107" s="190"/>
      <c r="K107" s="190"/>
    </row>
    <row r="108" spans="1:11" ht="15">
      <c r="A108" s="61"/>
      <c r="B108" s="238" t="s">
        <v>748</v>
      </c>
      <c r="C108" s="239" t="s">
        <v>734</v>
      </c>
      <c r="D108" s="239" t="s">
        <v>749</v>
      </c>
      <c r="E108" s="239" t="s">
        <v>738</v>
      </c>
      <c r="F108" s="285">
        <f>IF(Nomenclature!$J$5="04","NO ANSI CURVES, RESET PEAK DEMAND/THERMAL PARAMETERS","")</f>
      </c>
      <c r="G108" s="285" t="str">
        <f>IF(Nomenclature!$J$5="04","WITHOUT PASSWORD PROTECTION. HOUSED IN SIZE 8 CASE.",IF(AND(Nomenclature!$J$5&lt;&gt;"04",Nomenclature!$K$5="H"),"HOUSED IN A SIZE 8 MIDOS CASE","HOUSED IN A SIZE 8 CASE"))</f>
        <v>HOUSED IN A SIZE 8 CASE</v>
      </c>
      <c r="H108" s="242" t="s">
        <v>636</v>
      </c>
      <c r="I108" s="196"/>
      <c r="J108" s="190"/>
      <c r="K108" s="190"/>
    </row>
    <row r="109" spans="1:11" ht="15">
      <c r="A109" s="61"/>
      <c r="B109" s="238" t="s">
        <v>750</v>
      </c>
      <c r="C109" s="239" t="s">
        <v>734</v>
      </c>
      <c r="D109" s="239" t="s">
        <v>751</v>
      </c>
      <c r="E109" s="239" t="s">
        <v>752</v>
      </c>
      <c r="F109" s="239" t="s">
        <v>753</v>
      </c>
      <c r="G109" s="285" t="str">
        <f>IF(Nomenclature!$K$5="F","HOUSED IN A SIZE 6 MIDOS CASE","HOUSED IN A SIZE 6 CASE")</f>
        <v>HOUSED IN A SIZE 6 CASE</v>
      </c>
      <c r="H109" s="242" t="s">
        <v>636</v>
      </c>
      <c r="I109" s="196"/>
      <c r="J109" s="190"/>
      <c r="K109" s="190"/>
    </row>
    <row r="110" spans="1:11" ht="15">
      <c r="A110" s="61"/>
      <c r="B110" s="238" t="s">
        <v>754</v>
      </c>
      <c r="C110" s="239" t="s">
        <v>734</v>
      </c>
      <c r="D110" s="239" t="s">
        <v>751</v>
      </c>
      <c r="E110" s="239" t="s">
        <v>755</v>
      </c>
      <c r="F110" s="239" t="s">
        <v>753</v>
      </c>
      <c r="G110" s="239" t="s">
        <v>756</v>
      </c>
      <c r="H110" s="242" t="s">
        <v>636</v>
      </c>
      <c r="I110" s="196"/>
      <c r="J110" s="190"/>
      <c r="K110" s="190"/>
    </row>
    <row r="111" spans="1:11" ht="15">
      <c r="A111" s="61"/>
      <c r="B111" s="238" t="s">
        <v>757</v>
      </c>
      <c r="C111" s="239" t="s">
        <v>734</v>
      </c>
      <c r="D111" s="239" t="s">
        <v>758</v>
      </c>
      <c r="E111" s="239" t="s">
        <v>755</v>
      </c>
      <c r="F111" s="239" t="s">
        <v>753</v>
      </c>
      <c r="G111" s="285" t="str">
        <f>IF(Nomenclature!$K$5="H","HOUSED IN A SIZE 8 MIDOS CASE","HOUSED IN A SIZE 8 CASE")</f>
        <v>HOUSED IN A SIZE 8 CASE</v>
      </c>
      <c r="H111" s="242" t="s">
        <v>636</v>
      </c>
      <c r="I111" s="196"/>
      <c r="J111" s="190"/>
      <c r="K111" s="190"/>
    </row>
    <row r="112" spans="1:11" ht="15">
      <c r="A112" s="61"/>
      <c r="B112" s="238" t="s">
        <v>759</v>
      </c>
      <c r="C112" s="239" t="s">
        <v>734</v>
      </c>
      <c r="D112" s="239" t="s">
        <v>760</v>
      </c>
      <c r="E112" s="239" t="s">
        <v>761</v>
      </c>
      <c r="F112" s="240" t="s">
        <v>636</v>
      </c>
      <c r="G112" s="285" t="str">
        <f>IF(Nomenclature!$K$5="D","HOUSED IN A SIZE 4 MIDOS CASE","HOUSED IN A SIZE 4 CASE")</f>
        <v>HOUSED IN A SIZE 4 CASE</v>
      </c>
      <c r="H112" s="242" t="s">
        <v>636</v>
      </c>
      <c r="I112" s="196"/>
      <c r="J112" s="190"/>
      <c r="K112" s="190"/>
    </row>
    <row r="113" spans="1:11" ht="15">
      <c r="A113" s="61"/>
      <c r="B113" s="238" t="s">
        <v>762</v>
      </c>
      <c r="C113" s="239" t="s">
        <v>734</v>
      </c>
      <c r="D113" s="239" t="s">
        <v>763</v>
      </c>
      <c r="E113" s="285" t="str">
        <f>IF(Nomenclature!$J$5="05","FOR GENERAL APPLICATIONS WITH IEC &amp; ANSI CURVES","FOR GENERAL APPLICATIONS")</f>
        <v>FOR GENERAL APPLICATIONS</v>
      </c>
      <c r="F113" s="285">
        <f>IF(Nomenclature!$J$5="05","WITH 3 INPUTS &amp; 4 OUTPUTS - PRE-CONFIGURED WITH SIMPLIFIED FUNCTIONALITY",IF(Nomenclature!$J$5="02","WITH 3 INPUTS &amp; 4 OUTPUTS",IF(Nomenclature!$J$5="03","NO ANSI CURVES, WITH O/C FEATURE AUXILIARY TIMER1","")))</f>
      </c>
      <c r="G113" s="285" t="str">
        <f>IF(Nomenclature!$K$5="D","HOUSED IN A SIZE 4 MIDOS CASE","HOUSED IN A SIZE 4 CASE")</f>
        <v>HOUSED IN A SIZE 4 CASE</v>
      </c>
      <c r="H113" s="242" t="s">
        <v>636</v>
      </c>
      <c r="I113" s="196"/>
      <c r="J113" s="190"/>
      <c r="K113" s="190"/>
    </row>
    <row r="114" spans="1:11" ht="15">
      <c r="A114" s="61"/>
      <c r="B114" s="238" t="s">
        <v>1193</v>
      </c>
      <c r="C114" s="239" t="s">
        <v>734</v>
      </c>
      <c r="D114" s="239" t="s">
        <v>763</v>
      </c>
      <c r="E114" s="285" t="str">
        <f>IF(Nomenclature!$J$5="05","FOR GENERAL APPLICATIONS WITH IEC &amp; ANSI CURVES","FOR GENERAL APPLICATIONS")</f>
        <v>FOR GENERAL APPLICATIONS</v>
      </c>
      <c r="F114" s="285">
        <f>IF(Nomenclature!$J$5="05","WITH 3 INPUTS &amp; 4 OUTPUTS - PRE-CONFIGURED WITH SIMPLIFIED FUNCTIONALITY",IF(Nomenclature!$J$5="01","WITH 3 INPUTS &amp; 4 OUTPUTS",""))</f>
      </c>
      <c r="G114" s="285" t="str">
        <f>IF(Nomenclature!$K$5="D","HOUSED IN A SIZE 4 MIDOS CASE","HOUSED IN A SIZE 4 CASE")</f>
        <v>HOUSED IN A SIZE 4 CASE</v>
      </c>
      <c r="H114" s="242" t="s">
        <v>636</v>
      </c>
      <c r="I114" s="196"/>
      <c r="J114" s="190"/>
      <c r="K114" s="190"/>
    </row>
    <row r="115" spans="1:11" ht="15">
      <c r="A115" s="61"/>
      <c r="B115" s="238" t="s">
        <v>764</v>
      </c>
      <c r="C115" s="239" t="s">
        <v>734</v>
      </c>
      <c r="D115" s="239" t="s">
        <v>765</v>
      </c>
      <c r="E115" s="285" t="str">
        <f>IF(Nomenclature!$I$5=1,"WITH 3 INPUTS &amp; 4 OUTPUTS","FOR GENERAL APPLICATIONS")</f>
        <v>FOR GENERAL APPLICATIONS</v>
      </c>
      <c r="F115" s="285">
        <f>IF(Nomenclature!$J$5="01","PRE-CONFIGURED WITH SIMPLIFIED FUNCTIONALITY",IF(Nomenclature!$J$5="04","NO ANSI CURVES, RESET PEAK DEMAND/THERMAL PARAMETERS",IF(Nomenclature!$J$5="06","SHORTED INPUT/OUTPUT","")))</f>
      </c>
      <c r="G115" s="285" t="str">
        <f>IF(Nomenclature!$K$5="H","HOUSED IN A SIZE 8 MIDOS CASE","HOUSED IN A SIZE 8 CASE")</f>
        <v>HOUSED IN A SIZE 8 CASE</v>
      </c>
      <c r="H115" s="242" t="s">
        <v>636</v>
      </c>
      <c r="I115" s="196"/>
      <c r="J115" s="190"/>
      <c r="K115" s="190"/>
    </row>
    <row r="116" spans="1:11" ht="15">
      <c r="A116" s="61"/>
      <c r="B116" s="238" t="s">
        <v>124</v>
      </c>
      <c r="C116" s="239" t="s">
        <v>734</v>
      </c>
      <c r="D116" s="239" t="s">
        <v>765</v>
      </c>
      <c r="E116" s="285" t="str">
        <f>IF(Nomenclature!$I$5=1,"WITH 3 INPUTS &amp; 4 OUTPUTS","FOR GENERAL APPLICATIONS")</f>
        <v>FOR GENERAL APPLICATIONS</v>
      </c>
      <c r="F116" s="285">
        <f>IF(Nomenclature!$J$5="01","PRE-CONFIGURED WITH SIMPLIFIED FUNCTIONALITY",IF(Nomenclature!$J$5="04","NO ANSI CURVES, RESET PEAK DEMAND/THERMAL PARAMETERS",IF(Nomenclature!$J$5="06","SHORTED INPUT/OUTPUT","")))</f>
      </c>
      <c r="G116" s="285" t="str">
        <f>IF(Nomenclature!$K$5="H","HOUSED IN A SIZE 8 MIDOS CASE","HOUSED IN A SIZE 8 CASE")</f>
        <v>HOUSED IN A SIZE 8 CASE</v>
      </c>
      <c r="H116" s="242" t="s">
        <v>636</v>
      </c>
      <c r="I116" s="196"/>
      <c r="J116" s="190"/>
      <c r="K116" s="190"/>
    </row>
    <row r="117" spans="1:11" ht="15">
      <c r="A117" s="61"/>
      <c r="B117" s="238" t="s">
        <v>767</v>
      </c>
      <c r="C117" s="239" t="s">
        <v>734</v>
      </c>
      <c r="D117" s="239" t="s">
        <v>765</v>
      </c>
      <c r="E117" s="239" t="s">
        <v>768</v>
      </c>
      <c r="F117" s="239" t="s">
        <v>766</v>
      </c>
      <c r="G117" s="285" t="str">
        <f>IF(Nomenclature!$K$5="H","HOUSED IN A SIZE 8 MIDOS CASE","HOUSED IN A SIZE 8 CASE")</f>
        <v>HOUSED IN A SIZE 8 CASE</v>
      </c>
      <c r="H117" s="242" t="s">
        <v>636</v>
      </c>
      <c r="I117" s="196"/>
      <c r="J117" s="190"/>
      <c r="K117" s="190"/>
    </row>
    <row r="118" spans="1:11" ht="15">
      <c r="A118" s="61"/>
      <c r="B118" s="238" t="s">
        <v>769</v>
      </c>
      <c r="C118" s="239" t="s">
        <v>734</v>
      </c>
      <c r="D118" s="239" t="s">
        <v>765</v>
      </c>
      <c r="E118" s="239" t="s">
        <v>770</v>
      </c>
      <c r="F118" s="239" t="s">
        <v>254</v>
      </c>
      <c r="G118" s="285" t="str">
        <f>IF(Nomenclature!$K$5="H","FUNCTIONALITY. HOUSED IN A SIZE 8 MIDOS CASE","FUNCTIONALITY. HOUSED IN A SIZE 8 CASE")</f>
        <v>FUNCTIONALITY. HOUSED IN A SIZE 8 CASE</v>
      </c>
      <c r="H118" s="242" t="s">
        <v>636</v>
      </c>
      <c r="I118" s="196"/>
      <c r="J118" s="190"/>
      <c r="K118" s="190"/>
    </row>
    <row r="119" spans="1:11" ht="15">
      <c r="A119" s="61"/>
      <c r="B119" s="238" t="s">
        <v>771</v>
      </c>
      <c r="C119" s="239" t="s">
        <v>772</v>
      </c>
      <c r="D119" s="239" t="s">
        <v>773</v>
      </c>
      <c r="E119" s="239" t="s">
        <v>774</v>
      </c>
      <c r="F119" s="239" t="s">
        <v>780</v>
      </c>
      <c r="G119" s="239" t="s">
        <v>781</v>
      </c>
      <c r="H119" s="242" t="s">
        <v>636</v>
      </c>
      <c r="I119" s="196"/>
      <c r="J119" s="190"/>
      <c r="K119" s="190"/>
    </row>
    <row r="120" spans="1:11" ht="15">
      <c r="A120" s="61"/>
      <c r="B120" s="238" t="s">
        <v>782</v>
      </c>
      <c r="C120" s="239" t="s">
        <v>783</v>
      </c>
      <c r="D120" s="239" t="s">
        <v>784</v>
      </c>
      <c r="E120" s="239" t="s">
        <v>785</v>
      </c>
      <c r="F120" s="239" t="s">
        <v>786</v>
      </c>
      <c r="G120" s="240" t="s">
        <v>636</v>
      </c>
      <c r="H120" s="242" t="s">
        <v>636</v>
      </c>
      <c r="I120" s="196"/>
      <c r="J120" s="190"/>
      <c r="K120" s="190"/>
    </row>
    <row r="121" spans="1:11" ht="15">
      <c r="A121" s="98"/>
      <c r="B121" s="238" t="s">
        <v>787</v>
      </c>
      <c r="C121" s="239" t="s">
        <v>734</v>
      </c>
      <c r="D121" s="239" t="s">
        <v>737</v>
      </c>
      <c r="E121" s="239" t="s">
        <v>788</v>
      </c>
      <c r="F121" s="240" t="s">
        <v>636</v>
      </c>
      <c r="G121" s="285" t="str">
        <f>IF(Nomenclature!$K$5="F","HOUSED IN A SIZE 6 MIDOS CASE","HOUSED IN A SIZE 6 CASE")</f>
        <v>HOUSED IN A SIZE 6 CASE</v>
      </c>
      <c r="H121" s="242" t="s">
        <v>636</v>
      </c>
      <c r="I121" s="196"/>
      <c r="J121" s="190"/>
      <c r="K121" s="190"/>
    </row>
    <row r="122" spans="1:11" ht="15">
      <c r="A122" s="98"/>
      <c r="B122" s="238" t="s">
        <v>240</v>
      </c>
      <c r="C122" s="239" t="s">
        <v>734</v>
      </c>
      <c r="D122" s="239" t="s">
        <v>241</v>
      </c>
      <c r="E122" s="239" t="s">
        <v>788</v>
      </c>
      <c r="F122" s="240" t="s">
        <v>636</v>
      </c>
      <c r="G122" s="285" t="str">
        <f>IF(Nomenclature!$K$5="F","HOUSED IN A SIZE 6 MIDOS CASE","HOUSED IN A SIZE 6 CASE")</f>
        <v>HOUSED IN A SIZE 6 CASE</v>
      </c>
      <c r="H122" s="242" t="s">
        <v>636</v>
      </c>
      <c r="I122" s="196"/>
      <c r="J122" s="190"/>
      <c r="K122" s="190"/>
    </row>
    <row r="123" spans="1:11" ht="15">
      <c r="A123" s="61"/>
      <c r="B123" s="286"/>
      <c r="C123" s="287"/>
      <c r="D123" s="287"/>
      <c r="E123" s="287"/>
      <c r="F123" s="288"/>
      <c r="G123" s="116"/>
      <c r="H123" s="242"/>
      <c r="I123" s="196"/>
      <c r="J123" s="190"/>
      <c r="K123" s="190"/>
    </row>
    <row r="124" spans="1:11" ht="15">
      <c r="A124" s="70" t="s">
        <v>789</v>
      </c>
      <c r="B124" s="289"/>
      <c r="C124" s="116"/>
      <c r="D124" s="116"/>
      <c r="E124" s="116"/>
      <c r="F124" s="242"/>
      <c r="G124" s="116"/>
      <c r="H124" s="242"/>
      <c r="I124" s="196"/>
      <c r="J124" s="186"/>
      <c r="K124" s="190"/>
    </row>
    <row r="125" spans="1:11" ht="15">
      <c r="A125" s="70"/>
      <c r="B125" s="289"/>
      <c r="C125" s="116"/>
      <c r="D125" s="116"/>
      <c r="E125" s="116"/>
      <c r="F125" s="242"/>
      <c r="G125" s="116"/>
      <c r="H125" s="242"/>
      <c r="I125" s="196"/>
      <c r="J125" s="186"/>
      <c r="K125" s="190"/>
    </row>
    <row r="126" spans="1:11" ht="15">
      <c r="A126" s="22" t="s">
        <v>790</v>
      </c>
      <c r="B126" s="137" t="str">
        <f>Nomenclature!$M$5</f>
        <v>*</v>
      </c>
      <c r="C126" s="181" t="s">
        <v>462</v>
      </c>
      <c r="D126" s="181" t="s">
        <v>675</v>
      </c>
      <c r="E126" s="181" t="s">
        <v>655</v>
      </c>
      <c r="F126" s="181" t="s">
        <v>674</v>
      </c>
      <c r="G126" s="116"/>
      <c r="H126" s="242"/>
      <c r="I126" s="196"/>
      <c r="J126" s="186"/>
      <c r="K126" s="190"/>
    </row>
    <row r="127" spans="1:11" ht="15">
      <c r="A127" s="6"/>
      <c r="B127" s="290"/>
      <c r="C127" s="45" t="s">
        <v>694</v>
      </c>
      <c r="D127" s="45">
        <v>0</v>
      </c>
      <c r="E127" s="45">
        <v>110</v>
      </c>
      <c r="F127" s="45">
        <v>440</v>
      </c>
      <c r="G127" s="116"/>
      <c r="H127" s="242"/>
      <c r="I127" s="196"/>
      <c r="J127" s="186"/>
      <c r="K127" s="190"/>
    </row>
    <row r="128" spans="1:11" ht="15">
      <c r="A128" s="22" t="s">
        <v>791</v>
      </c>
      <c r="B128" s="137" t="str">
        <f>Nomenclature!$L$5</f>
        <v>*</v>
      </c>
      <c r="C128" s="181" t="s">
        <v>462</v>
      </c>
      <c r="D128" s="181" t="s">
        <v>656</v>
      </c>
      <c r="E128" s="181" t="s">
        <v>676</v>
      </c>
      <c r="F128" s="181" t="s">
        <v>706</v>
      </c>
      <c r="G128" s="116"/>
      <c r="H128" s="242"/>
      <c r="I128" s="196"/>
      <c r="J128" s="186"/>
      <c r="K128" s="190"/>
    </row>
    <row r="129" spans="1:11" ht="15">
      <c r="A129" s="3"/>
      <c r="B129" s="291"/>
      <c r="C129" s="45" t="s">
        <v>694</v>
      </c>
      <c r="D129" s="45">
        <v>24</v>
      </c>
      <c r="E129" s="45">
        <v>48</v>
      </c>
      <c r="F129" s="45">
        <v>100</v>
      </c>
      <c r="G129" s="116"/>
      <c r="H129" s="242"/>
      <c r="I129" s="196"/>
      <c r="J129" s="186"/>
      <c r="K129" s="190"/>
    </row>
    <row r="130" spans="1:11" ht="15">
      <c r="A130" s="6"/>
      <c r="B130" s="290"/>
      <c r="C130" s="45" t="s">
        <v>694</v>
      </c>
      <c r="D130" s="45">
        <v>125</v>
      </c>
      <c r="E130" s="45">
        <v>250</v>
      </c>
      <c r="F130" s="45">
        <v>250</v>
      </c>
      <c r="G130" s="116"/>
      <c r="H130" s="242"/>
      <c r="I130" s="196"/>
      <c r="J130" s="186"/>
      <c r="K130" s="190"/>
    </row>
    <row r="131" spans="1:11" ht="15">
      <c r="A131" s="22" t="s">
        <v>792</v>
      </c>
      <c r="B131" s="137" t="str">
        <f>Nomenclature!$L$5</f>
        <v>*</v>
      </c>
      <c r="C131" s="181" t="s">
        <v>462</v>
      </c>
      <c r="D131" s="181" t="s">
        <v>656</v>
      </c>
      <c r="E131" s="181" t="s">
        <v>676</v>
      </c>
      <c r="F131" s="181" t="s">
        <v>706</v>
      </c>
      <c r="G131" s="116"/>
      <c r="H131" s="242"/>
      <c r="I131" s="196"/>
      <c r="J131" s="186"/>
      <c r="K131" s="190"/>
    </row>
    <row r="132" spans="1:11" ht="15">
      <c r="A132" s="3"/>
      <c r="B132" s="291"/>
      <c r="C132" s="45" t="s">
        <v>694</v>
      </c>
      <c r="D132" s="45">
        <v>19</v>
      </c>
      <c r="E132" s="45">
        <v>33</v>
      </c>
      <c r="F132" s="45">
        <v>60</v>
      </c>
      <c r="G132" s="116"/>
      <c r="H132" s="242"/>
      <c r="I132" s="196"/>
      <c r="J132" s="186"/>
      <c r="K132" s="190"/>
    </row>
    <row r="133" spans="1:11" ht="15">
      <c r="A133" s="6"/>
      <c r="B133" s="290"/>
      <c r="C133" s="45" t="s">
        <v>694</v>
      </c>
      <c r="D133" s="45">
        <v>150</v>
      </c>
      <c r="E133" s="45">
        <v>300</v>
      </c>
      <c r="F133" s="45">
        <v>300</v>
      </c>
      <c r="G133" s="116"/>
      <c r="H133" s="242"/>
      <c r="I133" s="196"/>
      <c r="J133" s="186"/>
      <c r="K133" s="190"/>
    </row>
    <row r="134" spans="1:11" ht="15">
      <c r="A134" s="22" t="s">
        <v>792</v>
      </c>
      <c r="B134" s="137" t="str">
        <f>Nomenclature!$L$5</f>
        <v>*</v>
      </c>
      <c r="C134" s="181" t="s">
        <v>462</v>
      </c>
      <c r="D134" s="181" t="s">
        <v>656</v>
      </c>
      <c r="E134" s="181" t="s">
        <v>676</v>
      </c>
      <c r="F134" s="181" t="s">
        <v>706</v>
      </c>
      <c r="G134" s="116"/>
      <c r="H134" s="242"/>
      <c r="I134" s="196"/>
      <c r="J134" s="186"/>
      <c r="K134" s="190"/>
    </row>
    <row r="135" spans="1:11" ht="15">
      <c r="A135" s="3"/>
      <c r="B135" s="291"/>
      <c r="C135" s="45" t="s">
        <v>694</v>
      </c>
      <c r="D135" s="45">
        <v>50</v>
      </c>
      <c r="E135" s="45">
        <v>87</v>
      </c>
      <c r="F135" s="45">
        <v>60</v>
      </c>
      <c r="G135" s="116"/>
      <c r="H135" s="242"/>
      <c r="I135" s="196"/>
      <c r="J135" s="186"/>
      <c r="K135" s="190"/>
    </row>
    <row r="136" spans="1:11" ht="15">
      <c r="A136" s="6"/>
      <c r="B136" s="290"/>
      <c r="C136" s="45" t="s">
        <v>694</v>
      </c>
      <c r="D136" s="45">
        <v>133</v>
      </c>
      <c r="E136" s="45">
        <v>265</v>
      </c>
      <c r="F136" s="45">
        <v>265</v>
      </c>
      <c r="G136" s="116"/>
      <c r="H136" s="242"/>
      <c r="I136" s="196"/>
      <c r="J136" s="186"/>
      <c r="K136" s="190"/>
    </row>
    <row r="137" spans="1:11" ht="15">
      <c r="A137" s="22" t="s">
        <v>793</v>
      </c>
      <c r="B137" s="137" t="str">
        <f>Nomenclature!$O$5</f>
        <v>*</v>
      </c>
      <c r="C137" s="181" t="s">
        <v>462</v>
      </c>
      <c r="D137" s="181" t="s">
        <v>348</v>
      </c>
      <c r="E137" s="181" t="s">
        <v>346</v>
      </c>
      <c r="F137" s="181" t="s">
        <v>344</v>
      </c>
      <c r="G137" s="181" t="s">
        <v>342</v>
      </c>
      <c r="H137" s="242"/>
      <c r="I137" s="196"/>
      <c r="J137" s="186"/>
      <c r="K137" s="190"/>
    </row>
    <row r="138" spans="1:11" ht="15">
      <c r="A138" s="6"/>
      <c r="B138" s="290"/>
      <c r="C138" s="45" t="s">
        <v>694</v>
      </c>
      <c r="D138" s="45" t="s">
        <v>794</v>
      </c>
      <c r="E138" s="45" t="s">
        <v>795</v>
      </c>
      <c r="F138" s="45" t="s">
        <v>796</v>
      </c>
      <c r="G138" s="45" t="s">
        <v>797</v>
      </c>
      <c r="H138" s="242"/>
      <c r="I138" s="196"/>
      <c r="J138" s="186"/>
      <c r="K138" s="190"/>
    </row>
    <row r="139" spans="1:12" ht="15">
      <c r="A139" s="39" t="s">
        <v>805</v>
      </c>
      <c r="B139" s="137" t="str">
        <f>CONCATENATE(Nomenclature!$I$5,Nomenclature!$J$5)</f>
        <v>***</v>
      </c>
      <c r="C139" s="181" t="s">
        <v>806</v>
      </c>
      <c r="D139" s="181" t="s">
        <v>807</v>
      </c>
      <c r="E139" s="181" t="s">
        <v>82</v>
      </c>
      <c r="F139" s="181" t="s">
        <v>97</v>
      </c>
      <c r="G139" s="181" t="s">
        <v>123</v>
      </c>
      <c r="H139" s="181" t="s">
        <v>808</v>
      </c>
      <c r="I139" s="181" t="s">
        <v>809</v>
      </c>
      <c r="J139" s="181" t="s">
        <v>810</v>
      </c>
      <c r="K139" s="181" t="s">
        <v>112</v>
      </c>
      <c r="L139" s="181" t="s">
        <v>811</v>
      </c>
    </row>
    <row r="140" spans="1:12" ht="15">
      <c r="A140" s="70"/>
      <c r="B140" s="289"/>
      <c r="C140" s="45" t="s">
        <v>812</v>
      </c>
      <c r="D140" s="45" t="s">
        <v>813</v>
      </c>
      <c r="E140" s="45" t="s">
        <v>83</v>
      </c>
      <c r="F140" s="45" t="s">
        <v>813</v>
      </c>
      <c r="G140" s="45" t="s">
        <v>137</v>
      </c>
      <c r="H140" s="45" t="s">
        <v>814</v>
      </c>
      <c r="I140" s="45" t="s">
        <v>815</v>
      </c>
      <c r="J140" s="37" t="str">
        <f>IF(AND($B$168="KCEG242",Nomenclature!$J$5="04"),"NO TH",IF(AND($B$168="KCGG142",Nomenclature!$J$5="03"),"K1+K2","FULLY"))</f>
        <v>FULLY</v>
      </c>
      <c r="K140" s="37" t="str">
        <f>IF(AND($B$168="KCEG142",$C$49=4),"NO TH","FULLY")</f>
        <v>FULLY</v>
      </c>
      <c r="L140" s="45" t="s">
        <v>814</v>
      </c>
    </row>
    <row r="141" spans="1:12" ht="15">
      <c r="A141" s="70"/>
      <c r="B141" s="289"/>
      <c r="C141" s="45" t="s">
        <v>812</v>
      </c>
      <c r="D141" s="45" t="s">
        <v>816</v>
      </c>
      <c r="E141" s="45" t="s">
        <v>84</v>
      </c>
      <c r="F141" s="45" t="s">
        <v>816</v>
      </c>
      <c r="G141" s="45" t="s">
        <v>138</v>
      </c>
      <c r="H141" s="181" t="s">
        <v>636</v>
      </c>
      <c r="I141" s="181" t="s">
        <v>636</v>
      </c>
      <c r="J141" s="37" t="str">
        <f>IF(AND($B$168="KCEG242",Nomenclature!$J$5="04"),"P/WORD",IF(AND($B$168="KCGG142",Nomenclature!$J$5="03"),"LOGIC","FUNC"))</f>
        <v>FUNC</v>
      </c>
      <c r="K141" s="37" t="str">
        <f>IF(AND($B$168="KCEG142",$C$49=4),"P/WORD","FUNC")</f>
        <v>FUNC</v>
      </c>
      <c r="L141" s="202" t="s">
        <v>636</v>
      </c>
    </row>
    <row r="142" spans="1:11" ht="15">
      <c r="A142" s="61"/>
      <c r="B142" s="23"/>
      <c r="C142" s="117"/>
      <c r="D142" s="18"/>
      <c r="E142" s="118"/>
      <c r="F142" s="119"/>
      <c r="G142" s="196"/>
      <c r="H142" s="196"/>
      <c r="I142" s="196"/>
      <c r="J142" s="186"/>
      <c r="K142" s="190"/>
    </row>
    <row r="143" spans="1:11" ht="15">
      <c r="A143" s="63" t="s">
        <v>817</v>
      </c>
      <c r="B143" s="77"/>
      <c r="C143" s="121"/>
      <c r="D143" s="7"/>
      <c r="E143" s="122"/>
      <c r="F143" s="123"/>
      <c r="G143" s="123"/>
      <c r="H143" s="123"/>
      <c r="I143" s="123"/>
      <c r="J143" s="123"/>
      <c r="K143" s="124"/>
    </row>
    <row r="144" spans="1:12" ht="15">
      <c r="A144" s="63"/>
      <c r="B144" s="77"/>
      <c r="C144" s="243" t="str">
        <f>VLOOKUP($B$145,$C$145:$D$165,2)</f>
        <v>*</v>
      </c>
      <c r="D144" s="39"/>
      <c r="E144" s="59">
        <v>35612</v>
      </c>
      <c r="F144" s="59">
        <v>35779</v>
      </c>
      <c r="G144" s="59">
        <v>36055</v>
      </c>
      <c r="H144" s="59">
        <v>36105</v>
      </c>
      <c r="I144" s="59">
        <v>36383</v>
      </c>
      <c r="J144" s="59">
        <v>36634</v>
      </c>
      <c r="K144" s="59">
        <v>36823</v>
      </c>
      <c r="L144" s="59">
        <v>37859</v>
      </c>
    </row>
    <row r="145" spans="1:12" ht="15">
      <c r="A145" s="94" t="s">
        <v>818</v>
      </c>
      <c r="B145" s="100" t="str">
        <f>CONCATENATE(Nomenclature!$C$5,Nomenclature!$D$5,Nomenclature!$E$5,Nomenclature!$F$5,Nomenclature!$G$5,Nomenclature!$H$5,Nomenclature!$I$5,Nomenclature!$N$5)</f>
        <v>K*******</v>
      </c>
      <c r="C145" s="246" t="s">
        <v>775</v>
      </c>
      <c r="D145" s="37" t="str">
        <f>HLOOKUP($B$146,$E$144:$L$165,2)</f>
        <v>*</v>
      </c>
      <c r="E145" s="236" t="s">
        <v>462</v>
      </c>
      <c r="F145" s="236" t="s">
        <v>462</v>
      </c>
      <c r="G145" s="236" t="s">
        <v>462</v>
      </c>
      <c r="H145" s="236" t="s">
        <v>462</v>
      </c>
      <c r="I145" s="236" t="s">
        <v>462</v>
      </c>
      <c r="J145" s="236" t="s">
        <v>462</v>
      </c>
      <c r="K145" s="236" t="s">
        <v>462</v>
      </c>
      <c r="L145" s="236" t="s">
        <v>462</v>
      </c>
    </row>
    <row r="146" spans="1:12" ht="15">
      <c r="A146" s="94" t="s">
        <v>624</v>
      </c>
      <c r="B146" s="93">
        <f ca="1">IF(Nomenclature!$B$32="",TODAY(),Nomenclature!$B$32)</f>
        <v>40450</v>
      </c>
      <c r="C146" s="246" t="s">
        <v>916</v>
      </c>
      <c r="D146" s="37" t="str">
        <f>HLOOKUP($B$146,$E$144:$L$165,3)</f>
        <v>D</v>
      </c>
      <c r="E146" s="95" t="s">
        <v>352</v>
      </c>
      <c r="F146" s="95" t="s">
        <v>352</v>
      </c>
      <c r="G146" s="95" t="s">
        <v>352</v>
      </c>
      <c r="H146" s="95" t="s">
        <v>352</v>
      </c>
      <c r="I146" s="59" t="s">
        <v>819</v>
      </c>
      <c r="J146" s="59" t="s">
        <v>819</v>
      </c>
      <c r="K146" s="59" t="s">
        <v>354</v>
      </c>
      <c r="L146" s="59" t="s">
        <v>356</v>
      </c>
    </row>
    <row r="147" spans="1:12" ht="14.25">
      <c r="A147" s="4"/>
      <c r="B147" s="4"/>
      <c r="C147" s="246" t="s">
        <v>918</v>
      </c>
      <c r="D147" s="37" t="str">
        <f>HLOOKUP($B$146,$E$144:$L$165,4)</f>
        <v>C</v>
      </c>
      <c r="E147" s="236" t="s">
        <v>462</v>
      </c>
      <c r="F147" s="236" t="s">
        <v>462</v>
      </c>
      <c r="G147" s="95" t="s">
        <v>352</v>
      </c>
      <c r="H147" s="95" t="s">
        <v>352</v>
      </c>
      <c r="I147" s="59" t="s">
        <v>819</v>
      </c>
      <c r="J147" s="59" t="s">
        <v>819</v>
      </c>
      <c r="K147" s="59" t="s">
        <v>819</v>
      </c>
      <c r="L147" s="59" t="s">
        <v>354</v>
      </c>
    </row>
    <row r="148" spans="1:12" ht="14.25">
      <c r="A148" s="4"/>
      <c r="B148" s="4"/>
      <c r="C148" s="246" t="s">
        <v>920</v>
      </c>
      <c r="D148" s="37" t="str">
        <f>HLOOKUP($B$146,$E$144:$L$165,5)</f>
        <v>E</v>
      </c>
      <c r="E148" s="95" t="s">
        <v>352</v>
      </c>
      <c r="F148" s="95" t="s">
        <v>819</v>
      </c>
      <c r="G148" s="95" t="s">
        <v>819</v>
      </c>
      <c r="H148" s="95" t="s">
        <v>819</v>
      </c>
      <c r="I148" s="59" t="s">
        <v>354</v>
      </c>
      <c r="J148" s="59" t="s">
        <v>354</v>
      </c>
      <c r="K148" s="59" t="s">
        <v>356</v>
      </c>
      <c r="L148" s="59" t="s">
        <v>348</v>
      </c>
    </row>
    <row r="149" spans="1:12" ht="14.25">
      <c r="A149" s="4"/>
      <c r="B149" s="4"/>
      <c r="C149" s="246" t="s">
        <v>922</v>
      </c>
      <c r="D149" s="37" t="str">
        <f>HLOOKUP($B$146,$E$144:$L$165,6)</f>
        <v>D</v>
      </c>
      <c r="E149" s="95" t="s">
        <v>352</v>
      </c>
      <c r="F149" s="95" t="s">
        <v>352</v>
      </c>
      <c r="G149" s="95" t="s">
        <v>352</v>
      </c>
      <c r="H149" s="95" t="s">
        <v>352</v>
      </c>
      <c r="I149" s="59" t="s">
        <v>819</v>
      </c>
      <c r="J149" s="59" t="s">
        <v>819</v>
      </c>
      <c r="K149" s="59" t="s">
        <v>354</v>
      </c>
      <c r="L149" s="59" t="s">
        <v>356</v>
      </c>
    </row>
    <row r="150" spans="1:12" ht="14.25">
      <c r="A150" s="4"/>
      <c r="B150" s="4"/>
      <c r="C150" s="246" t="s">
        <v>923</v>
      </c>
      <c r="D150" s="37" t="str">
        <f>HLOOKUP($B$146,$E$144:$L$165,7)</f>
        <v>C</v>
      </c>
      <c r="E150" s="236" t="s">
        <v>462</v>
      </c>
      <c r="F150" s="236" t="s">
        <v>462</v>
      </c>
      <c r="G150" s="95" t="s">
        <v>352</v>
      </c>
      <c r="H150" s="95" t="s">
        <v>352</v>
      </c>
      <c r="I150" s="59" t="s">
        <v>819</v>
      </c>
      <c r="J150" s="59" t="s">
        <v>819</v>
      </c>
      <c r="K150" s="59" t="s">
        <v>819</v>
      </c>
      <c r="L150" s="59" t="s">
        <v>354</v>
      </c>
    </row>
    <row r="151" spans="1:12" ht="14.25">
      <c r="A151" s="4"/>
      <c r="B151" s="4"/>
      <c r="C151" s="246" t="s">
        <v>924</v>
      </c>
      <c r="D151" s="37" t="str">
        <f>HLOOKUP($B$146,$E$144:$L$165,8)</f>
        <v>E</v>
      </c>
      <c r="E151" s="95" t="s">
        <v>352</v>
      </c>
      <c r="F151" s="95" t="s">
        <v>819</v>
      </c>
      <c r="G151" s="95" t="s">
        <v>819</v>
      </c>
      <c r="H151" s="95" t="s">
        <v>819</v>
      </c>
      <c r="I151" s="59" t="s">
        <v>354</v>
      </c>
      <c r="J151" s="59" t="s">
        <v>354</v>
      </c>
      <c r="K151" s="59" t="s">
        <v>356</v>
      </c>
      <c r="L151" s="59" t="s">
        <v>348</v>
      </c>
    </row>
    <row r="152" spans="1:12" ht="14.25">
      <c r="A152" s="4"/>
      <c r="B152" s="4"/>
      <c r="C152" s="246" t="s">
        <v>776</v>
      </c>
      <c r="D152" s="37" t="str">
        <f>HLOOKUP($B$146,$E$144:$L$165,9)</f>
        <v>C</v>
      </c>
      <c r="E152" s="236" t="s">
        <v>462</v>
      </c>
      <c r="F152" s="236" t="s">
        <v>462</v>
      </c>
      <c r="G152" s="95" t="s">
        <v>352</v>
      </c>
      <c r="H152" s="95" t="s">
        <v>352</v>
      </c>
      <c r="I152" s="59" t="s">
        <v>819</v>
      </c>
      <c r="J152" s="59" t="s">
        <v>819</v>
      </c>
      <c r="K152" s="59" t="s">
        <v>819</v>
      </c>
      <c r="L152" s="59" t="s">
        <v>354</v>
      </c>
    </row>
    <row r="153" spans="1:12" ht="14.25">
      <c r="A153" s="4"/>
      <c r="B153" s="4"/>
      <c r="C153" s="246" t="s">
        <v>777</v>
      </c>
      <c r="D153" s="37" t="str">
        <f>HLOOKUP($B$146,$E$144:$L$165,10)</f>
        <v>C</v>
      </c>
      <c r="E153" s="236" t="s">
        <v>462</v>
      </c>
      <c r="F153" s="236" t="s">
        <v>462</v>
      </c>
      <c r="G153" s="95" t="s">
        <v>352</v>
      </c>
      <c r="H153" s="95" t="s">
        <v>352</v>
      </c>
      <c r="I153" s="59" t="s">
        <v>819</v>
      </c>
      <c r="J153" s="59" t="s">
        <v>819</v>
      </c>
      <c r="K153" s="59" t="s">
        <v>819</v>
      </c>
      <c r="L153" s="59" t="s">
        <v>354</v>
      </c>
    </row>
    <row r="154" spans="1:12" ht="14.25">
      <c r="A154" s="4"/>
      <c r="B154" s="4"/>
      <c r="C154" s="246" t="s">
        <v>928</v>
      </c>
      <c r="D154" s="37" t="str">
        <f>HLOOKUP($B$146,$E$144:$L$165,11)</f>
        <v>D</v>
      </c>
      <c r="E154" s="95" t="s">
        <v>352</v>
      </c>
      <c r="F154" s="95" t="s">
        <v>352</v>
      </c>
      <c r="G154" s="95" t="s">
        <v>352</v>
      </c>
      <c r="H154" s="95" t="s">
        <v>352</v>
      </c>
      <c r="I154" s="59" t="s">
        <v>819</v>
      </c>
      <c r="J154" s="59" t="s">
        <v>819</v>
      </c>
      <c r="K154" s="59" t="s">
        <v>354</v>
      </c>
      <c r="L154" s="59" t="s">
        <v>356</v>
      </c>
    </row>
    <row r="155" spans="1:12" ht="14.25">
      <c r="A155" s="4"/>
      <c r="B155" s="4"/>
      <c r="C155" s="246" t="s">
        <v>929</v>
      </c>
      <c r="D155" s="37" t="str">
        <f>HLOOKUP($B$146,$E$144:$L$165,12)</f>
        <v>C</v>
      </c>
      <c r="E155" s="95" t="s">
        <v>352</v>
      </c>
      <c r="F155" s="95" t="s">
        <v>352</v>
      </c>
      <c r="G155" s="95" t="s">
        <v>352</v>
      </c>
      <c r="H155" s="95" t="s">
        <v>352</v>
      </c>
      <c r="I155" s="59" t="s">
        <v>819</v>
      </c>
      <c r="J155" s="59" t="s">
        <v>819</v>
      </c>
      <c r="K155" s="59" t="s">
        <v>819</v>
      </c>
      <c r="L155" s="59" t="s">
        <v>354</v>
      </c>
    </row>
    <row r="156" spans="1:12" ht="14.25">
      <c r="A156" s="4"/>
      <c r="B156" s="4"/>
      <c r="C156" s="246" t="s">
        <v>930</v>
      </c>
      <c r="D156" s="37" t="str">
        <f>HLOOKUP($B$146,$E$144:$L$165,13)</f>
        <v>C</v>
      </c>
      <c r="E156" s="95" t="s">
        <v>352</v>
      </c>
      <c r="F156" s="95" t="s">
        <v>352</v>
      </c>
      <c r="G156" s="95" t="s">
        <v>352</v>
      </c>
      <c r="H156" s="95" t="s">
        <v>352</v>
      </c>
      <c r="I156" s="59" t="s">
        <v>819</v>
      </c>
      <c r="J156" s="59" t="s">
        <v>819</v>
      </c>
      <c r="K156" s="59" t="s">
        <v>819</v>
      </c>
      <c r="L156" s="59" t="s">
        <v>354</v>
      </c>
    </row>
    <row r="157" spans="1:12" ht="14.25">
      <c r="A157" s="4"/>
      <c r="B157" s="4"/>
      <c r="C157" s="246" t="s">
        <v>931</v>
      </c>
      <c r="D157" s="37" t="str">
        <f>HLOOKUP($B$146,$E$144:$L$165,14)</f>
        <v>C</v>
      </c>
      <c r="E157" s="236" t="s">
        <v>462</v>
      </c>
      <c r="F157" s="236" t="s">
        <v>462</v>
      </c>
      <c r="G157" s="236" t="s">
        <v>462</v>
      </c>
      <c r="H157" s="59" t="s">
        <v>352</v>
      </c>
      <c r="I157" s="59" t="s">
        <v>819</v>
      </c>
      <c r="J157" s="59" t="s">
        <v>819</v>
      </c>
      <c r="K157" s="59" t="s">
        <v>819</v>
      </c>
      <c r="L157" s="59" t="s">
        <v>354</v>
      </c>
    </row>
    <row r="158" spans="1:12" ht="14.25">
      <c r="A158" s="4"/>
      <c r="B158" s="4"/>
      <c r="C158" s="246" t="s">
        <v>131</v>
      </c>
      <c r="D158" s="37" t="str">
        <f>HLOOKUP($B$146,$E$144:$L$165,15)</f>
        <v>C</v>
      </c>
      <c r="E158" s="236" t="s">
        <v>462</v>
      </c>
      <c r="F158" s="236" t="s">
        <v>462</v>
      </c>
      <c r="G158" s="236" t="s">
        <v>462</v>
      </c>
      <c r="H158" s="59" t="s">
        <v>352</v>
      </c>
      <c r="I158" s="59" t="s">
        <v>819</v>
      </c>
      <c r="J158" s="59" t="s">
        <v>819</v>
      </c>
      <c r="K158" s="59" t="s">
        <v>819</v>
      </c>
      <c r="L158" s="59" t="s">
        <v>354</v>
      </c>
    </row>
    <row r="159" spans="1:12" ht="14.25">
      <c r="A159" s="4"/>
      <c r="B159" s="4"/>
      <c r="C159" s="246" t="s">
        <v>932</v>
      </c>
      <c r="D159" s="37" t="str">
        <f>HLOOKUP($B$146,$E$144:$L$165,16)</f>
        <v>C</v>
      </c>
      <c r="E159" s="236" t="s">
        <v>462</v>
      </c>
      <c r="F159" s="236" t="s">
        <v>462</v>
      </c>
      <c r="G159" s="236" t="s">
        <v>462</v>
      </c>
      <c r="H159" s="59" t="s">
        <v>352</v>
      </c>
      <c r="I159" s="59" t="s">
        <v>819</v>
      </c>
      <c r="J159" s="59" t="s">
        <v>819</v>
      </c>
      <c r="K159" s="59" t="s">
        <v>819</v>
      </c>
      <c r="L159" s="59" t="s">
        <v>354</v>
      </c>
    </row>
    <row r="160" spans="1:12" ht="14.25">
      <c r="A160" s="4"/>
      <c r="B160" s="4"/>
      <c r="C160" s="246" t="s">
        <v>779</v>
      </c>
      <c r="D160" s="37" t="str">
        <f>HLOOKUP($B$146,$E$144:$L$165,17)</f>
        <v>C</v>
      </c>
      <c r="E160" s="236" t="s">
        <v>462</v>
      </c>
      <c r="F160" s="236" t="s">
        <v>462</v>
      </c>
      <c r="G160" s="236" t="s">
        <v>462</v>
      </c>
      <c r="H160" s="59" t="s">
        <v>352</v>
      </c>
      <c r="I160" s="59" t="s">
        <v>819</v>
      </c>
      <c r="J160" s="59" t="s">
        <v>819</v>
      </c>
      <c r="K160" s="59" t="s">
        <v>819</v>
      </c>
      <c r="L160" s="59" t="s">
        <v>354</v>
      </c>
    </row>
    <row r="161" spans="1:12" ht="14.25">
      <c r="A161" s="4"/>
      <c r="B161" s="4"/>
      <c r="C161" s="246" t="s">
        <v>778</v>
      </c>
      <c r="D161" s="37" t="str">
        <f>HLOOKUP($B$146,$E$144:$L$165,18)</f>
        <v>C</v>
      </c>
      <c r="E161" s="236" t="s">
        <v>462</v>
      </c>
      <c r="F161" s="236" t="s">
        <v>462</v>
      </c>
      <c r="G161" s="236" t="s">
        <v>462</v>
      </c>
      <c r="H161" s="59" t="s">
        <v>352</v>
      </c>
      <c r="I161" s="59" t="s">
        <v>819</v>
      </c>
      <c r="J161" s="59" t="s">
        <v>819</v>
      </c>
      <c r="K161" s="59" t="s">
        <v>819</v>
      </c>
      <c r="L161" s="59" t="s">
        <v>354</v>
      </c>
    </row>
    <row r="162" spans="1:12" ht="14.25">
      <c r="A162" s="4"/>
      <c r="B162" s="4"/>
      <c r="C162" s="246" t="s">
        <v>933</v>
      </c>
      <c r="D162" s="37" t="str">
        <f>HLOOKUP($B$146,$E$144:$L$165,19)</f>
        <v>C</v>
      </c>
      <c r="E162" s="95" t="s">
        <v>352</v>
      </c>
      <c r="F162" s="95" t="s">
        <v>352</v>
      </c>
      <c r="G162" s="95" t="s">
        <v>352</v>
      </c>
      <c r="H162" s="95" t="s">
        <v>352</v>
      </c>
      <c r="I162" s="59" t="s">
        <v>819</v>
      </c>
      <c r="J162" s="59" t="s">
        <v>819</v>
      </c>
      <c r="K162" s="59" t="s">
        <v>819</v>
      </c>
      <c r="L162" s="59" t="s">
        <v>354</v>
      </c>
    </row>
    <row r="163" spans="1:12" ht="14.25">
      <c r="A163" s="4"/>
      <c r="B163" s="4"/>
      <c r="C163" s="246" t="s">
        <v>934</v>
      </c>
      <c r="D163" s="37" t="str">
        <f>HLOOKUP($B$146,$E$144:$L$165,20)</f>
        <v>C</v>
      </c>
      <c r="E163" s="95" t="s">
        <v>352</v>
      </c>
      <c r="F163" s="95" t="s">
        <v>352</v>
      </c>
      <c r="G163" s="95" t="s">
        <v>352</v>
      </c>
      <c r="H163" s="95" t="s">
        <v>352</v>
      </c>
      <c r="I163" s="59" t="s">
        <v>819</v>
      </c>
      <c r="J163" s="59" t="s">
        <v>819</v>
      </c>
      <c r="K163" s="59" t="s">
        <v>819</v>
      </c>
      <c r="L163" s="59" t="s">
        <v>354</v>
      </c>
    </row>
    <row r="164" spans="1:12" ht="14.25">
      <c r="A164" s="4"/>
      <c r="B164" s="4"/>
      <c r="C164" s="246" t="s">
        <v>935</v>
      </c>
      <c r="D164" s="37" t="str">
        <f>HLOOKUP($B$146,$E$144:$L$165,21)</f>
        <v>D</v>
      </c>
      <c r="E164" s="95" t="s">
        <v>352</v>
      </c>
      <c r="F164" s="95" t="s">
        <v>352</v>
      </c>
      <c r="G164" s="95" t="s">
        <v>352</v>
      </c>
      <c r="H164" s="95" t="s">
        <v>352</v>
      </c>
      <c r="I164" s="59" t="s">
        <v>819</v>
      </c>
      <c r="J164" s="59" t="s">
        <v>819</v>
      </c>
      <c r="K164" s="59" t="s">
        <v>354</v>
      </c>
      <c r="L164" s="59" t="s">
        <v>356</v>
      </c>
    </row>
    <row r="165" spans="1:12" ht="14.25">
      <c r="A165" s="4"/>
      <c r="B165" s="4"/>
      <c r="C165" s="246" t="s">
        <v>248</v>
      </c>
      <c r="D165" s="37" t="str">
        <f>HLOOKUP($B$146,$E$144:$L$165,22)</f>
        <v>C</v>
      </c>
      <c r="E165" s="236" t="s">
        <v>462</v>
      </c>
      <c r="F165" s="236" t="s">
        <v>462</v>
      </c>
      <c r="G165" s="236" t="s">
        <v>462</v>
      </c>
      <c r="H165" s="236" t="s">
        <v>462</v>
      </c>
      <c r="I165" s="387" t="s">
        <v>462</v>
      </c>
      <c r="J165" s="59" t="s">
        <v>352</v>
      </c>
      <c r="K165" s="59" t="s">
        <v>819</v>
      </c>
      <c r="L165" s="59" t="s">
        <v>354</v>
      </c>
    </row>
    <row r="166" spans="1:13" ht="14.25">
      <c r="A166" s="166"/>
      <c r="B166" s="65"/>
      <c r="C166" s="65"/>
      <c r="D166" s="234"/>
      <c r="E166" s="234"/>
      <c r="F166" s="234"/>
      <c r="G166" s="234"/>
      <c r="H166" s="234"/>
      <c r="I166" s="234"/>
      <c r="J166" s="234"/>
      <c r="K166" s="235"/>
      <c r="L166" s="391">
        <v>35577</v>
      </c>
      <c r="M166" s="391">
        <v>38147</v>
      </c>
    </row>
    <row r="167" spans="1:13" ht="15">
      <c r="A167" s="63" t="s">
        <v>820</v>
      </c>
      <c r="B167" s="69" t="s">
        <v>624</v>
      </c>
      <c r="C167" s="104"/>
      <c r="D167" s="303"/>
      <c r="E167" s="72" t="s">
        <v>522</v>
      </c>
      <c r="F167" s="45" t="s">
        <v>524</v>
      </c>
      <c r="G167" s="239" t="s">
        <v>527</v>
      </c>
      <c r="H167" s="72" t="s">
        <v>523</v>
      </c>
      <c r="I167" s="72" t="s">
        <v>821</v>
      </c>
      <c r="J167" s="72" t="s">
        <v>542</v>
      </c>
      <c r="K167" s="72" t="s">
        <v>822</v>
      </c>
      <c r="L167" s="392"/>
      <c r="M167" s="392"/>
    </row>
    <row r="168" spans="1:13" ht="15">
      <c r="A168" s="72" t="s">
        <v>823</v>
      </c>
      <c r="B168" s="275" t="str">
        <f>CONCATENATE(Nomenclature!$C$5,Nomenclature!$D$5,Nomenclature!$E$5,Nomenclature!$F$5,Nomenclature!$G$5,Nomenclature!$H$5,Nomenclature!$I$5)</f>
        <v>K******</v>
      </c>
      <c r="C168" s="38">
        <f>IF(LEFT($B$217,7)="KCGG122",1,0)</f>
        <v>0</v>
      </c>
      <c r="D168" s="303">
        <v>1</v>
      </c>
      <c r="E168" s="72" t="s">
        <v>824</v>
      </c>
      <c r="F168" s="45" t="s">
        <v>825</v>
      </c>
      <c r="G168" s="239" t="s">
        <v>826</v>
      </c>
      <c r="H168" s="72" t="s">
        <v>827</v>
      </c>
      <c r="I168" s="72" t="s">
        <v>828</v>
      </c>
      <c r="J168" s="72" t="s">
        <v>829</v>
      </c>
      <c r="K168" s="306" t="str">
        <f>CONCATENATE($B$168,"XX",Nomenclature!$O$5,HLOOKUP($B$146,$L$166:$M$192,3))</f>
        <v>K******XX*T</v>
      </c>
      <c r="L168" s="393" t="s">
        <v>636</v>
      </c>
      <c r="M168" s="394" t="s">
        <v>798</v>
      </c>
    </row>
    <row r="169" spans="1:13" ht="14.25">
      <c r="A169" s="72" t="s">
        <v>830</v>
      </c>
      <c r="B169" s="301"/>
      <c r="C169" s="38">
        <f>IF(AND($C$49=1,LEFT($B$217,7)="KCGG141"),2,0)</f>
        <v>0</v>
      </c>
      <c r="D169" s="303">
        <v>2</v>
      </c>
      <c r="E169" s="72" t="s">
        <v>831</v>
      </c>
      <c r="F169" s="45" t="s">
        <v>832</v>
      </c>
      <c r="G169" s="239" t="s">
        <v>833</v>
      </c>
      <c r="H169" s="72" t="s">
        <v>526</v>
      </c>
      <c r="I169" s="72" t="s">
        <v>834</v>
      </c>
      <c r="J169" s="72" t="s">
        <v>829</v>
      </c>
      <c r="K169" s="306" t="str">
        <f>CONCATENATE($B$168,"XX",Nomenclature!$O$5,HLOOKUP($B$146,$L$166:$M$192,4))</f>
        <v>K******XX* </v>
      </c>
      <c r="L169" s="393" t="s">
        <v>636</v>
      </c>
      <c r="M169" s="393" t="s">
        <v>636</v>
      </c>
    </row>
    <row r="170" spans="1:13" ht="14.25">
      <c r="A170" s="72" t="s">
        <v>92</v>
      </c>
      <c r="B170" s="301"/>
      <c r="C170" s="38">
        <f>IF(AND($C$49=2,LEFT($B$217,7)="KCGG141"),3,0)</f>
        <v>0</v>
      </c>
      <c r="D170" s="303">
        <v>3</v>
      </c>
      <c r="E170" s="72" t="s">
        <v>831</v>
      </c>
      <c r="F170" s="45" t="s">
        <v>832</v>
      </c>
      <c r="G170" s="239" t="s">
        <v>833</v>
      </c>
      <c r="H170" s="72" t="s">
        <v>1</v>
      </c>
      <c r="I170" s="72" t="s">
        <v>834</v>
      </c>
      <c r="J170" s="72" t="s">
        <v>829</v>
      </c>
      <c r="K170" s="306" t="str">
        <f>CONCATENATE($B$168,"XX",Nomenclature!$O$5,HLOOKUP($B$146,$L$166:$M$192,5))</f>
        <v>K******XX* </v>
      </c>
      <c r="L170" s="393" t="s">
        <v>636</v>
      </c>
      <c r="M170" s="393" t="s">
        <v>636</v>
      </c>
    </row>
    <row r="171" spans="1:13" ht="14.25">
      <c r="A171" s="72" t="s">
        <v>835</v>
      </c>
      <c r="B171" s="301"/>
      <c r="C171" s="38">
        <f>IF(AND(LEFT($B$217,7)="KCGG142",Nomenclature!$J$5="02"),4,0)</f>
        <v>0</v>
      </c>
      <c r="D171" s="303">
        <v>4</v>
      </c>
      <c r="E171" s="72" t="s">
        <v>836</v>
      </c>
      <c r="F171" s="45" t="s">
        <v>837</v>
      </c>
      <c r="G171" s="239" t="s">
        <v>838</v>
      </c>
      <c r="H171" s="72" t="s">
        <v>839</v>
      </c>
      <c r="I171" s="72" t="s">
        <v>834</v>
      </c>
      <c r="J171" s="72" t="s">
        <v>829</v>
      </c>
      <c r="K171" s="306" t="str">
        <f>CONCATENATE($B$168,"XX",Nomenclature!$O$5,HLOOKUP($B$146,$L$166:$M$192,6))</f>
        <v>K******XX*J</v>
      </c>
      <c r="L171" s="393" t="s">
        <v>636</v>
      </c>
      <c r="M171" s="394" t="s">
        <v>799</v>
      </c>
    </row>
    <row r="172" spans="1:13" s="294" customFormat="1" ht="14.25">
      <c r="A172" s="72" t="s">
        <v>840</v>
      </c>
      <c r="B172" s="301"/>
      <c r="C172" s="38">
        <f>IF(AND(LEFT($B$217,7)="KCGG142",Nomenclature!$J$5="03"),0,IF(AND(LEFT($B$217,7)="KCGG142",Nomenclature!$J$5&lt;&gt;"02"),5,0))</f>
        <v>0</v>
      </c>
      <c r="D172" s="303">
        <v>5</v>
      </c>
      <c r="E172" s="72" t="s">
        <v>841</v>
      </c>
      <c r="F172" s="45" t="s">
        <v>842</v>
      </c>
      <c r="G172" s="239" t="s">
        <v>843</v>
      </c>
      <c r="H172" s="72" t="s">
        <v>844</v>
      </c>
      <c r="I172" s="72" t="s">
        <v>828</v>
      </c>
      <c r="J172" s="72" t="s">
        <v>829</v>
      </c>
      <c r="K172" s="306" t="str">
        <f>CONCATENATE($B$168,"XX",Nomenclature!$O$5,HLOOKUP($B$146,$L$166:$M$192,7))</f>
        <v>K******XX*T</v>
      </c>
      <c r="L172" s="393" t="s">
        <v>636</v>
      </c>
      <c r="M172" s="394" t="s">
        <v>798</v>
      </c>
    </row>
    <row r="173" spans="1:13" s="294" customFormat="1" ht="14.25">
      <c r="A173" s="72" t="s">
        <v>845</v>
      </c>
      <c r="B173" s="301"/>
      <c r="C173" s="38">
        <f>IF(AND(LEFT($B$217,7)="KCGG142",Nomenclature!$J$5="03"),6,0)</f>
        <v>0</v>
      </c>
      <c r="D173" s="303">
        <v>6</v>
      </c>
      <c r="E173" s="72" t="s">
        <v>841</v>
      </c>
      <c r="F173" s="45" t="s">
        <v>842</v>
      </c>
      <c r="G173" s="239" t="s">
        <v>843</v>
      </c>
      <c r="H173" s="72" t="s">
        <v>844</v>
      </c>
      <c r="I173" s="72" t="s">
        <v>828</v>
      </c>
      <c r="J173" s="72" t="s">
        <v>829</v>
      </c>
      <c r="K173" s="306" t="str">
        <f>CONCATENATE($B$168,"XX",Nomenclature!$O$5,HLOOKUP($B$146,$L$166:$M$192,8))</f>
        <v>K******XX*K</v>
      </c>
      <c r="L173" s="393" t="s">
        <v>636</v>
      </c>
      <c r="M173" s="394" t="s">
        <v>461</v>
      </c>
    </row>
    <row r="174" spans="1:13" ht="14.25">
      <c r="A174" s="72" t="s">
        <v>846</v>
      </c>
      <c r="B174" s="301"/>
      <c r="C174" s="38">
        <f>IF(AND(LEFT($B$217,7)="KCGG241",C49=1),7,0)</f>
        <v>0</v>
      </c>
      <c r="D174" s="303">
        <v>7</v>
      </c>
      <c r="E174" s="72" t="s">
        <v>847</v>
      </c>
      <c r="F174" s="45" t="s">
        <v>848</v>
      </c>
      <c r="G174" s="239" t="s">
        <v>849</v>
      </c>
      <c r="H174" s="72" t="s">
        <v>850</v>
      </c>
      <c r="I174" s="72" t="s">
        <v>834</v>
      </c>
      <c r="J174" s="72" t="s">
        <v>829</v>
      </c>
      <c r="K174" s="306" t="str">
        <f>CONCATENATE($B$168,"XX",Nomenclature!$O$5,HLOOKUP($B$146,$L$166:$M$192,9))</f>
        <v>K******XX* </v>
      </c>
      <c r="L174" s="393" t="s">
        <v>636</v>
      </c>
      <c r="M174" s="393" t="s">
        <v>636</v>
      </c>
    </row>
    <row r="175" spans="1:13" s="320" customFormat="1" ht="14.25">
      <c r="A175" s="72" t="s">
        <v>87</v>
      </c>
      <c r="B175" s="319"/>
      <c r="C175" s="38">
        <f>IF(AND(LEFT($B$217,7)="KCGG241",C49=2),8,0)</f>
        <v>0</v>
      </c>
      <c r="D175" s="303">
        <v>8</v>
      </c>
      <c r="E175" s="72" t="s">
        <v>847</v>
      </c>
      <c r="F175" s="45" t="s">
        <v>848</v>
      </c>
      <c r="G175" s="239" t="s">
        <v>849</v>
      </c>
      <c r="H175" s="72" t="s">
        <v>850</v>
      </c>
      <c r="I175" s="72" t="s">
        <v>834</v>
      </c>
      <c r="J175" s="72" t="s">
        <v>829</v>
      </c>
      <c r="K175" s="306" t="str">
        <f>CONCATENATE($B$168,"XX",Nomenclature!$O$5,HLOOKUP($B$146,$L$166:$M$192,10))</f>
        <v>K******XX*H</v>
      </c>
      <c r="L175" s="393" t="s">
        <v>636</v>
      </c>
      <c r="M175" s="394" t="s">
        <v>402</v>
      </c>
    </row>
    <row r="176" spans="1:13" s="320" customFormat="1" ht="14.25">
      <c r="A176" s="72" t="s">
        <v>125</v>
      </c>
      <c r="B176" s="319"/>
      <c r="C176" s="38">
        <f>IF(AND(LEFT($B$217,7)="KCGG241",C49=3),9,0)</f>
        <v>0</v>
      </c>
      <c r="D176" s="303">
        <v>9</v>
      </c>
      <c r="E176" s="72" t="s">
        <v>126</v>
      </c>
      <c r="F176" s="45" t="s">
        <v>127</v>
      </c>
      <c r="G176" s="239" t="s">
        <v>128</v>
      </c>
      <c r="H176" s="72" t="s">
        <v>129</v>
      </c>
      <c r="I176" s="72" t="s">
        <v>834</v>
      </c>
      <c r="J176" s="72" t="s">
        <v>130</v>
      </c>
      <c r="K176" s="306" t="str">
        <f>CONCATENATE($B$168,"XX",Nomenclature!$O$5,HLOOKUP($B$146,$L$166:$M$192,11))</f>
        <v>K******XX*?</v>
      </c>
      <c r="L176" s="393" t="s">
        <v>636</v>
      </c>
      <c r="M176" s="394" t="s">
        <v>694</v>
      </c>
    </row>
    <row r="177" spans="1:13" ht="14.25">
      <c r="A177" s="72" t="s">
        <v>851</v>
      </c>
      <c r="B177" s="301"/>
      <c r="C177" s="38">
        <f>IF(LEFT($B$217,7)="KCGG332",10,0)</f>
        <v>0</v>
      </c>
      <c r="D177" s="303">
        <v>10</v>
      </c>
      <c r="E177" s="72" t="s">
        <v>852</v>
      </c>
      <c r="F177" s="45" t="s">
        <v>853</v>
      </c>
      <c r="G177" s="239" t="s">
        <v>854</v>
      </c>
      <c r="H177" s="72" t="s">
        <v>855</v>
      </c>
      <c r="I177" s="72" t="s">
        <v>834</v>
      </c>
      <c r="J177" s="72" t="s">
        <v>829</v>
      </c>
      <c r="K177" s="306" t="str">
        <f>CONCATENATE($B$168,"XX",Nomenclature!$O$5,HLOOKUP($B$146,$L$166:$M$192,12))</f>
        <v>K******XX* </v>
      </c>
      <c r="L177" s="393" t="s">
        <v>636</v>
      </c>
      <c r="M177" s="393" t="s">
        <v>636</v>
      </c>
    </row>
    <row r="178" spans="1:13" ht="14.25">
      <c r="A178" s="72" t="s">
        <v>856</v>
      </c>
      <c r="B178" s="301"/>
      <c r="C178" s="38">
        <f>IF(LEFT($B$217,7)="KCGG341",11,0)</f>
        <v>0</v>
      </c>
      <c r="D178" s="303">
        <v>11</v>
      </c>
      <c r="E178" s="72" t="s">
        <v>852</v>
      </c>
      <c r="F178" s="45" t="s">
        <v>857</v>
      </c>
      <c r="G178" s="239" t="s">
        <v>854</v>
      </c>
      <c r="H178" s="72" t="s">
        <v>858</v>
      </c>
      <c r="I178" s="72" t="s">
        <v>834</v>
      </c>
      <c r="J178" s="72" t="s">
        <v>829</v>
      </c>
      <c r="K178" s="306" t="str">
        <f>CONCATENATE($B$168,"XX",Nomenclature!$O$5,HLOOKUP($B$146,$L$166:$M$192,13))</f>
        <v>K******XX* </v>
      </c>
      <c r="L178" s="393" t="s">
        <v>636</v>
      </c>
      <c r="M178" s="393" t="s">
        <v>636</v>
      </c>
    </row>
    <row r="179" spans="1:13" ht="14.25">
      <c r="A179" s="72" t="s">
        <v>859</v>
      </c>
      <c r="B179" s="301"/>
      <c r="C179" s="38">
        <f>IF(AND(LEFT($B$217,7)="KCEG112",C180=0),12,0)</f>
        <v>0</v>
      </c>
      <c r="D179" s="303">
        <v>12</v>
      </c>
      <c r="E179" s="72" t="s">
        <v>860</v>
      </c>
      <c r="F179" s="45" t="s">
        <v>861</v>
      </c>
      <c r="G179" s="239" t="s">
        <v>862</v>
      </c>
      <c r="H179" s="72" t="s">
        <v>863</v>
      </c>
      <c r="I179" s="72" t="s">
        <v>828</v>
      </c>
      <c r="J179" s="72" t="s">
        <v>829</v>
      </c>
      <c r="K179" s="306" t="str">
        <f>CONCATENATE($B$168,"XX",Nomenclature!$O$5,HLOOKUP($B$146,$L$166:$M$192,14))</f>
        <v>K******XX*T</v>
      </c>
      <c r="L179" s="393" t="s">
        <v>636</v>
      </c>
      <c r="M179" s="394" t="s">
        <v>798</v>
      </c>
    </row>
    <row r="180" spans="1:13" ht="14.25">
      <c r="A180" s="72" t="s">
        <v>864</v>
      </c>
      <c r="B180" s="301"/>
      <c r="C180" s="38">
        <f>IF($B$217="KCEG112L",13,IF($B$217="KCEG112M",13,IF($B$217="KCEG112P",13,0)))</f>
        <v>0</v>
      </c>
      <c r="D180" s="303">
        <v>13</v>
      </c>
      <c r="E180" s="72" t="s">
        <v>860</v>
      </c>
      <c r="F180" s="45" t="s">
        <v>861</v>
      </c>
      <c r="G180" s="239" t="s">
        <v>862</v>
      </c>
      <c r="H180" s="72" t="s">
        <v>863</v>
      </c>
      <c r="I180" s="72" t="s">
        <v>828</v>
      </c>
      <c r="J180" s="72" t="s">
        <v>829</v>
      </c>
      <c r="K180" s="306" t="str">
        <f>CONCATENATE($B$168,"XX",Nomenclature!$O$5,HLOOKUP($B$146,$L$166:$M$192,15))</f>
        <v>K******XX*J</v>
      </c>
      <c r="L180" s="393" t="s">
        <v>636</v>
      </c>
      <c r="M180" s="394" t="s">
        <v>799</v>
      </c>
    </row>
    <row r="181" spans="1:13" ht="14.25">
      <c r="A181" s="72" t="s">
        <v>865</v>
      </c>
      <c r="B181" s="301"/>
      <c r="C181" s="38">
        <f>IF(AND(Lookup!$C$49&lt;4,(LEFT($B$217,7)="KCEG142")),14,0)</f>
        <v>0</v>
      </c>
      <c r="D181" s="303">
        <v>14</v>
      </c>
      <c r="E181" s="72" t="s">
        <v>866</v>
      </c>
      <c r="F181" s="45" t="s">
        <v>867</v>
      </c>
      <c r="G181" s="239" t="s">
        <v>868</v>
      </c>
      <c r="H181" s="72" t="s">
        <v>869</v>
      </c>
      <c r="I181" s="72" t="s">
        <v>828</v>
      </c>
      <c r="J181" s="72" t="s">
        <v>829</v>
      </c>
      <c r="K181" s="306" t="str">
        <f>CONCATENATE($B$168,"XX",Nomenclature!$O$5,HLOOKUP($B$146,$L$166:$M$192,16))</f>
        <v>K******XX*T</v>
      </c>
      <c r="L181" s="393" t="s">
        <v>636</v>
      </c>
      <c r="M181" s="394" t="s">
        <v>798</v>
      </c>
    </row>
    <row r="182" spans="1:13" ht="14.25">
      <c r="A182" s="72" t="s">
        <v>111</v>
      </c>
      <c r="B182" s="301"/>
      <c r="C182" s="38">
        <f>IF(AND($C$49=4,LEFT($B$217,7)="KCEG142"),15,0)</f>
        <v>0</v>
      </c>
      <c r="D182" s="303">
        <v>15</v>
      </c>
      <c r="E182" s="72" t="s">
        <v>866</v>
      </c>
      <c r="F182" s="45" t="s">
        <v>867</v>
      </c>
      <c r="G182" s="239" t="s">
        <v>868</v>
      </c>
      <c r="H182" s="72" t="s">
        <v>869</v>
      </c>
      <c r="I182" s="72" t="s">
        <v>828</v>
      </c>
      <c r="J182" s="72" t="s">
        <v>829</v>
      </c>
      <c r="K182" s="306" t="str">
        <f>CONCATENATE($B$168,"XX",Nomenclature!$O$5,HLOOKUP($B$146,$L$166:$M$192,17))</f>
        <v>K******XX* </v>
      </c>
      <c r="L182" s="393" t="s">
        <v>636</v>
      </c>
      <c r="M182" s="393" t="s">
        <v>636</v>
      </c>
    </row>
    <row r="183" spans="1:13" ht="14.25">
      <c r="A183" s="72" t="s">
        <v>870</v>
      </c>
      <c r="B183" s="301"/>
      <c r="C183" s="38">
        <f>IF(AND(LEFT($B$217,7)="KCEG152",C184=0),16,0)</f>
        <v>0</v>
      </c>
      <c r="D183" s="303">
        <v>16</v>
      </c>
      <c r="E183" s="72" t="s">
        <v>871</v>
      </c>
      <c r="F183" s="45" t="s">
        <v>872</v>
      </c>
      <c r="G183" s="239" t="s">
        <v>873</v>
      </c>
      <c r="H183" s="72" t="s">
        <v>874</v>
      </c>
      <c r="I183" s="72" t="s">
        <v>828</v>
      </c>
      <c r="J183" s="72" t="s">
        <v>829</v>
      </c>
      <c r="K183" s="306" t="str">
        <f>CONCATENATE($B$168,"XX",Nomenclature!$O$5,HLOOKUP($B$146,$L$166:$M$192,18))</f>
        <v>K******XX*T</v>
      </c>
      <c r="L183" s="393" t="s">
        <v>636</v>
      </c>
      <c r="M183" s="394" t="s">
        <v>798</v>
      </c>
    </row>
    <row r="184" spans="1:13" ht="14.25">
      <c r="A184" s="72" t="s">
        <v>875</v>
      </c>
      <c r="B184" s="301"/>
      <c r="C184" s="38">
        <f>IF($B$217="KCEG152L",17,IF($B$217="KCEG152M",17,IF($B$217="KCEG152P",17,0)))</f>
        <v>0</v>
      </c>
      <c r="D184" s="303">
        <v>17</v>
      </c>
      <c r="E184" s="72" t="s">
        <v>871</v>
      </c>
      <c r="F184" s="45" t="s">
        <v>872</v>
      </c>
      <c r="G184" s="239" t="s">
        <v>873</v>
      </c>
      <c r="H184" s="72" t="s">
        <v>874</v>
      </c>
      <c r="I184" s="72" t="s">
        <v>828</v>
      </c>
      <c r="J184" s="72" t="s">
        <v>829</v>
      </c>
      <c r="K184" s="306" t="str">
        <f>CONCATENATE($B$168,"XX",Nomenclature!$O$5,HLOOKUP($B$146,$L$166:$M$192,19))</f>
        <v>K******XX*J</v>
      </c>
      <c r="L184" s="393" t="s">
        <v>636</v>
      </c>
      <c r="M184" s="394" t="s">
        <v>799</v>
      </c>
    </row>
    <row r="185" spans="1:13" s="294" customFormat="1" ht="14.25">
      <c r="A185" s="72" t="s">
        <v>876</v>
      </c>
      <c r="B185" s="301"/>
      <c r="C185" s="38">
        <f>IF(AND(LEFT($B$217,7)="KCEG242",Nomenclature!J5&lt;&gt;"04"),18,0)</f>
        <v>0</v>
      </c>
      <c r="D185" s="303">
        <v>18</v>
      </c>
      <c r="E185" s="72" t="s">
        <v>877</v>
      </c>
      <c r="F185" s="45" t="s">
        <v>878</v>
      </c>
      <c r="G185" s="239" t="s">
        <v>879</v>
      </c>
      <c r="H185" s="72" t="s">
        <v>880</v>
      </c>
      <c r="I185" s="72" t="s">
        <v>828</v>
      </c>
      <c r="J185" s="72" t="s">
        <v>829</v>
      </c>
      <c r="K185" s="306" t="str">
        <f>CONCATENATE($B$168,"XX",Nomenclature!$O$5,HLOOKUP($B$146,$L$166:$M$192,20))</f>
        <v>K******XX*T</v>
      </c>
      <c r="L185" s="393" t="s">
        <v>636</v>
      </c>
      <c r="M185" s="394" t="s">
        <v>798</v>
      </c>
    </row>
    <row r="186" spans="1:13" s="294" customFormat="1" ht="14.25">
      <c r="A186" s="72" t="s">
        <v>881</v>
      </c>
      <c r="B186" s="301"/>
      <c r="C186" s="38">
        <f>IF(AND(LEFT($B$217,7)="KCEG242",Nomenclature!J5="04"),19,0)</f>
        <v>0</v>
      </c>
      <c r="D186" s="303">
        <v>19</v>
      </c>
      <c r="E186" s="72" t="s">
        <v>877</v>
      </c>
      <c r="F186" s="45" t="s">
        <v>878</v>
      </c>
      <c r="G186" s="239" t="s">
        <v>879</v>
      </c>
      <c r="H186" s="72" t="s">
        <v>880</v>
      </c>
      <c r="I186" s="72" t="s">
        <v>828</v>
      </c>
      <c r="J186" s="72" t="s">
        <v>829</v>
      </c>
      <c r="K186" s="306" t="str">
        <f>CONCATENATE($B$168,"XX",Nomenclature!$O$5,HLOOKUP($B$146,$L$166:$M$192,21))</f>
        <v>K******XX*I</v>
      </c>
      <c r="L186" s="393" t="s">
        <v>636</v>
      </c>
      <c r="M186" s="394" t="s">
        <v>800</v>
      </c>
    </row>
    <row r="187" spans="1:13" ht="14.25">
      <c r="A187" s="72" t="s">
        <v>882</v>
      </c>
      <c r="B187" s="301"/>
      <c r="C187" s="38">
        <f>IF(LEFT($B$217,7)="KCEU142",20,0)</f>
        <v>0</v>
      </c>
      <c r="D187" s="303">
        <v>20</v>
      </c>
      <c r="E187" s="72" t="s">
        <v>883</v>
      </c>
      <c r="F187" s="45" t="s">
        <v>884</v>
      </c>
      <c r="G187" s="239" t="s">
        <v>885</v>
      </c>
      <c r="H187" s="72" t="s">
        <v>886</v>
      </c>
      <c r="I187" s="72" t="s">
        <v>887</v>
      </c>
      <c r="J187" s="72" t="s">
        <v>829</v>
      </c>
      <c r="K187" s="306" t="str">
        <f>CONCATENATE($B$168,"XX",Nomenclature!$O$5,HLOOKUP($B$146,$L$166:$M$192,22))</f>
        <v>K******XX* </v>
      </c>
      <c r="L187" s="393" t="s">
        <v>636</v>
      </c>
      <c r="M187" s="393" t="s">
        <v>636</v>
      </c>
    </row>
    <row r="188" spans="1:13" ht="14.25">
      <c r="A188" s="72" t="s">
        <v>888</v>
      </c>
      <c r="B188" s="301"/>
      <c r="C188" s="38">
        <f>IF(LEFT($B$217,7)="KCEU242",21,0)</f>
        <v>0</v>
      </c>
      <c r="D188" s="303">
        <v>21</v>
      </c>
      <c r="E188" s="72" t="s">
        <v>889</v>
      </c>
      <c r="F188" s="45" t="s">
        <v>890</v>
      </c>
      <c r="G188" s="239" t="s">
        <v>891</v>
      </c>
      <c r="H188" s="72" t="s">
        <v>892</v>
      </c>
      <c r="I188" s="72" t="s">
        <v>887</v>
      </c>
      <c r="J188" s="72" t="s">
        <v>829</v>
      </c>
      <c r="K188" s="306" t="str">
        <f>CONCATENATE($B$168,"XX",Nomenclature!$O$5,HLOOKUP($B$146,$L$166:$M$192,23))</f>
        <v>K******XX* </v>
      </c>
      <c r="L188" s="393" t="s">
        <v>636</v>
      </c>
      <c r="M188" s="393" t="s">
        <v>636</v>
      </c>
    </row>
    <row r="189" spans="1:13" ht="14.25">
      <c r="A189" s="72" t="s">
        <v>893</v>
      </c>
      <c r="B189" s="301"/>
      <c r="C189" s="38">
        <f>IF(LEFT($B$217,7)="KVFG122",22,0)</f>
        <v>0</v>
      </c>
      <c r="D189" s="303">
        <v>22</v>
      </c>
      <c r="E189" s="72" t="s">
        <v>894</v>
      </c>
      <c r="F189" s="45" t="s">
        <v>895</v>
      </c>
      <c r="G189" s="239" t="s">
        <v>896</v>
      </c>
      <c r="H189" s="72" t="s">
        <v>897</v>
      </c>
      <c r="I189" s="72" t="s">
        <v>898</v>
      </c>
      <c r="J189" s="72" t="s">
        <v>899</v>
      </c>
      <c r="K189" s="306" t="str">
        <f>CONCATENATE($B$168,"XX",Nomenclature!$O$5,HLOOKUP($B$146,$L$166:$M$192,24))</f>
        <v>K******XX* </v>
      </c>
      <c r="L189" s="393" t="s">
        <v>636</v>
      </c>
      <c r="M189" s="393" t="s">
        <v>636</v>
      </c>
    </row>
    <row r="190" spans="1:13" ht="14.25">
      <c r="A190" s="72" t="s">
        <v>900</v>
      </c>
      <c r="B190" s="301"/>
      <c r="C190" s="38">
        <f>IF(LEFT($B$217,7)="KVFG142",23,0)</f>
        <v>0</v>
      </c>
      <c r="D190" s="303">
        <v>23</v>
      </c>
      <c r="E190" s="72" t="s">
        <v>901</v>
      </c>
      <c r="F190" s="45" t="s">
        <v>902</v>
      </c>
      <c r="G190" s="239" t="s">
        <v>903</v>
      </c>
      <c r="H190" s="72" t="s">
        <v>904</v>
      </c>
      <c r="I190" s="72" t="s">
        <v>905</v>
      </c>
      <c r="J190" s="72" t="s">
        <v>899</v>
      </c>
      <c r="K190" s="306" t="str">
        <f>CONCATENATE($B$168,"XX",Nomenclature!$O$5,HLOOKUP($B$146,$L$166:$M$192,25))</f>
        <v>K******XX* </v>
      </c>
      <c r="L190" s="393" t="s">
        <v>636</v>
      </c>
      <c r="M190" s="393" t="s">
        <v>636</v>
      </c>
    </row>
    <row r="191" spans="1:13" ht="14.25">
      <c r="A191" s="72" t="s">
        <v>906</v>
      </c>
      <c r="B191" s="301"/>
      <c r="C191" s="38">
        <f>IF(LEFT($B$217,7)="KVGC102",24,0)</f>
        <v>0</v>
      </c>
      <c r="D191" s="303">
        <v>24</v>
      </c>
      <c r="E191" s="72" t="s">
        <v>907</v>
      </c>
      <c r="F191" s="45" t="s">
        <v>908</v>
      </c>
      <c r="G191" s="239" t="s">
        <v>909</v>
      </c>
      <c r="H191" s="72" t="s">
        <v>910</v>
      </c>
      <c r="I191" s="72" t="s">
        <v>911</v>
      </c>
      <c r="J191" s="72" t="s">
        <v>829</v>
      </c>
      <c r="K191" s="306" t="str">
        <f>CONCATENATE($B$168,"XX",Nomenclature!$O$5,HLOOKUP($B$146,$L$166:$M$192,26))</f>
        <v>K******XX* </v>
      </c>
      <c r="L191" s="393" t="s">
        <v>636</v>
      </c>
      <c r="M191" s="393" t="s">
        <v>636</v>
      </c>
    </row>
    <row r="192" spans="1:13" ht="14.25">
      <c r="A192" s="72" t="s">
        <v>239</v>
      </c>
      <c r="B192" s="301"/>
      <c r="C192" s="38">
        <f>IF(LEFT($B$217,7)="KVGC202",25,0)</f>
        <v>0</v>
      </c>
      <c r="D192" s="303">
        <v>25</v>
      </c>
      <c r="E192" s="72" t="s">
        <v>242</v>
      </c>
      <c r="F192" s="45" t="s">
        <v>243</v>
      </c>
      <c r="G192" s="239" t="s">
        <v>244</v>
      </c>
      <c r="H192" s="72" t="s">
        <v>245</v>
      </c>
      <c r="I192" s="72" t="s">
        <v>246</v>
      </c>
      <c r="J192" s="72" t="s">
        <v>247</v>
      </c>
      <c r="K192" s="306" t="str">
        <f>CONCATENATE($B$168,"XX",Nomenclature!$O$5,HLOOKUP($B$146,$L$166:$M$192,27))</f>
        <v>K******XX* </v>
      </c>
      <c r="L192" s="393" t="s">
        <v>636</v>
      </c>
      <c r="M192" s="393" t="s">
        <v>636</v>
      </c>
    </row>
    <row r="193" spans="1:11" ht="15">
      <c r="A193" s="13"/>
      <c r="B193" s="13"/>
      <c r="C193" s="73">
        <f>SUM($C$168:$C$192)</f>
        <v>0</v>
      </c>
      <c r="D193" s="70"/>
      <c r="E193" s="70"/>
      <c r="F193" s="70"/>
      <c r="G193" s="70"/>
      <c r="H193" s="70"/>
      <c r="I193" s="70"/>
      <c r="J193" s="76"/>
      <c r="K193" s="76"/>
    </row>
    <row r="194" spans="1:11" ht="14.25">
      <c r="A194" s="3"/>
      <c r="B194" s="4"/>
      <c r="C194" s="14"/>
      <c r="D194" s="4"/>
      <c r="E194" s="97"/>
      <c r="F194" s="4"/>
      <c r="G194" s="4"/>
      <c r="H194" s="4"/>
      <c r="I194" s="4"/>
      <c r="J194" s="48"/>
      <c r="K194" s="48"/>
    </row>
    <row r="195" spans="1:16" ht="15">
      <c r="A195" s="63" t="s">
        <v>912</v>
      </c>
      <c r="B195" s="69" t="s">
        <v>624</v>
      </c>
      <c r="C195" s="275" t="str">
        <f>CONCATENATE(Nomenclature!C5,Nomenclature!D5,Nomenclature!E5,Nomenclature!F5,Nomenclature!G5,Nomenclature!H5,Nomenclature!I5&amp;Nomenclature!N5)</f>
        <v>K*******</v>
      </c>
      <c r="D195" s="4"/>
      <c r="E195" s="84" t="s">
        <v>913</v>
      </c>
      <c r="F195" s="86" t="s">
        <v>541</v>
      </c>
      <c r="G195" s="86" t="s">
        <v>520</v>
      </c>
      <c r="H195" s="86" t="s">
        <v>914</v>
      </c>
      <c r="I195" s="86" t="s">
        <v>541</v>
      </c>
      <c r="J195" s="69" t="s">
        <v>326</v>
      </c>
      <c r="K195" s="69" t="s">
        <v>348</v>
      </c>
      <c r="L195" s="69" t="s">
        <v>346</v>
      </c>
      <c r="M195" s="69" t="s">
        <v>344</v>
      </c>
      <c r="N195" s="69" t="s">
        <v>342</v>
      </c>
      <c r="O195" s="113" t="s">
        <v>915</v>
      </c>
      <c r="P195" s="69" t="s">
        <v>559</v>
      </c>
    </row>
    <row r="196" spans="1:16" ht="15">
      <c r="A196" s="71"/>
      <c r="B196" s="71"/>
      <c r="C196" s="82"/>
      <c r="D196" s="36" t="s">
        <v>916</v>
      </c>
      <c r="E196" s="283" t="str">
        <f>IF(Nomenclature!$K$5="D","GJ0396000",IF(Nomenclature!$K$5="L","GJ0396100","GJ0396?00"))</f>
        <v>GJ0396?00</v>
      </c>
      <c r="F196" s="283" t="str">
        <f>IF(Nomenclature!$K$5="D",": GJ0033008",IF(Nomenclature!$K$5="L",": GJ0416008",": GJ0???008"))</f>
        <v>: GJ0???008</v>
      </c>
      <c r="G196" s="87" t="s">
        <v>917</v>
      </c>
      <c r="H196" s="283" t="str">
        <f>IF(Nomenclature!$K$5="D",": GJ0028227",IF(Nomenclature!$K$5="L",": GJ0428227",": GJ0?28227"))</f>
        <v>: GJ0?28227</v>
      </c>
      <c r="I196" s="283" t="str">
        <f>IF(Nomenclature!$K$5="D","GJ0033008",IF(Nomenclature!$K$5="L","GJ0416008","GJ0???008"))</f>
        <v>GJ0???008</v>
      </c>
      <c r="J196" s="137" t="e">
        <f>HLOOKUP(Nomenclature!$O$5,Lookup!$K$195:$N$213,2)</f>
        <v>#N/A</v>
      </c>
      <c r="K196" s="171" t="str">
        <f>IF(Nomenclature!$K$5="D","GJ9104350",IF(Nomenclature!$K$5="L","GJ9174350","GJ91?4350"))</f>
        <v>GJ91?4350</v>
      </c>
      <c r="L196" s="171" t="str">
        <f>IF(Nomenclature!$K$5="D","GJ9104351",IF(Nomenclature!$K$5="L","GJ9174351","GJ91?4351"))</f>
        <v>GJ91?4351</v>
      </c>
      <c r="M196" s="285" t="str">
        <f>IF(Nomenclature!$K$5="D","GJ9104352",IF(Nomenclature!$K$5="L","GJ9174352","GJ91?4352"))</f>
        <v>GJ91?4352</v>
      </c>
      <c r="N196" s="285" t="str">
        <f>IF(Nomenclature!$K$5="D","GJ9104353",IF(Nomenclature!$K$5="L","GJ9174353","GJ91?4353"))</f>
        <v>GJ91?4353</v>
      </c>
      <c r="O196" s="45" t="s">
        <v>819</v>
      </c>
      <c r="P196" s="267" t="s">
        <v>919</v>
      </c>
    </row>
    <row r="197" spans="1:16" ht="15">
      <c r="A197" s="71"/>
      <c r="B197" s="71"/>
      <c r="C197" s="82"/>
      <c r="D197" s="36" t="s">
        <v>918</v>
      </c>
      <c r="E197" s="283" t="str">
        <f>IF(Nomenclature!$K$5="D","GJ0396000",IF(Nomenclature!$K$5="L","GJ0396100","GJ0396?00"))</f>
        <v>GJ0396?00</v>
      </c>
      <c r="F197" s="283" t="str">
        <f>IF(Nomenclature!$K$5="D",": GJ0033008",IF(Nomenclature!$K$5="L",": GJ0416008",": GJ0???008"))</f>
        <v>: GJ0???008</v>
      </c>
      <c r="G197" s="87" t="s">
        <v>917</v>
      </c>
      <c r="H197" s="283" t="str">
        <f>IF(Nomenclature!$K$5="D",": GJ0028227",IF(Nomenclature!$K$5="L",": GJ0428227",": GJ0?28227"))</f>
        <v>: GJ0?28227</v>
      </c>
      <c r="I197" s="283" t="str">
        <f>IF(Nomenclature!$K$5="D","GJ0033008",IF(Nomenclature!$K$5="L","GJ0416008","GJ0???008"))</f>
        <v>GJ0???008</v>
      </c>
      <c r="J197" s="137" t="e">
        <f>HLOOKUP(Nomenclature!$O$5,Lookup!$K$195:$N$213,3)</f>
        <v>#N/A</v>
      </c>
      <c r="K197" s="171" t="str">
        <f>IF(Nomenclature!$K$5="D","GJ9104350",IF(Nomenclature!$K$5="L","GJ9174350","GJ91?4350"))</f>
        <v>GJ91?4350</v>
      </c>
      <c r="L197" s="171" t="str">
        <f>IF(Nomenclature!$K$5="D","GJ9104351",IF(Nomenclature!$K$5="L","GJ9174351","GJ91?4351"))</f>
        <v>GJ91?4351</v>
      </c>
      <c r="M197" s="285" t="str">
        <f>IF(Nomenclature!$K$5="D","GJ9104352",IF(Nomenclature!$K$5="L","GJ9174352","GJ91?4352"))</f>
        <v>GJ91?4352</v>
      </c>
      <c r="N197" s="285" t="str">
        <f>IF(Nomenclature!$K$5="D","GJ9104353",IF(Nomenclature!$K$5="L","GJ9174353","GJ91?4353"))</f>
        <v>GJ91?4353</v>
      </c>
      <c r="O197" s="45" t="s">
        <v>819</v>
      </c>
      <c r="P197" s="267" t="s">
        <v>919</v>
      </c>
    </row>
    <row r="198" spans="1:16" ht="15">
      <c r="A198" s="71"/>
      <c r="B198" s="138"/>
      <c r="C198" s="82"/>
      <c r="D198" s="36" t="s">
        <v>920</v>
      </c>
      <c r="E198" s="283" t="str">
        <f>IF(Nomenclature!$K$5="F","GJ0397000",IF(Nomenclature!$K$5="N","GJ0397100","GJ0397?00"))</f>
        <v>GJ0397?00</v>
      </c>
      <c r="F198" s="283" t="str">
        <f>IF(Nomenclature!$K$5="F",": GJ0034018",IF(Nomenclature!$K$5="N",": GJ0417018",": GJ0???018"))</f>
        <v>: GJ0???018</v>
      </c>
      <c r="G198" s="87" t="s">
        <v>921</v>
      </c>
      <c r="H198" s="283" t="str">
        <f>IF(Nomenclature!$K$5="F",": GJ0028423",IF(Nomenclature!$K$5="N",": GJ0428423",": GJ0?28423"))</f>
        <v>: GJ0?28423</v>
      </c>
      <c r="I198" s="283" t="str">
        <f>IF(Nomenclature!$K$5="F","GJ0034018",IF(Nomenclature!$K$5="N","GJ0417018","GJ0???018"))</f>
        <v>GJ0???018</v>
      </c>
      <c r="J198" s="137" t="e">
        <f>HLOOKUP(Nomenclature!$O$5,Lookup!$K$195:$N$213,4)</f>
        <v>#N/A</v>
      </c>
      <c r="K198" s="171" t="str">
        <f>IF(Nomenclature!$K$5="F","GJ9106312",IF(Nomenclature!$K$5="N","GJ9176312","GJ91?6312"))</f>
        <v>GJ91?6312</v>
      </c>
      <c r="L198" s="171" t="str">
        <f>IF(Nomenclature!$K$5="F","GJ9106315",IF(Nomenclature!$K$5="N","GJ9176315","GJ91?6315"))</f>
        <v>GJ91?6315</v>
      </c>
      <c r="M198" s="171" t="str">
        <f>IF(Nomenclature!$K$5="F","GJ9106316",IF(Nomenclature!$K$5="N","GJ9176316","GJ91?6316?"))</f>
        <v>GJ91?6316?</v>
      </c>
      <c r="N198" s="171" t="str">
        <f>IF(Nomenclature!$K$5="F","GJ9106317",IF(Nomenclature!$K$5="N","GJ9176317","GJ91?6317"))</f>
        <v>GJ91?6317</v>
      </c>
      <c r="O198" s="45" t="s">
        <v>354</v>
      </c>
      <c r="P198" s="267" t="s">
        <v>919</v>
      </c>
    </row>
    <row r="199" spans="1:16" ht="15">
      <c r="A199" s="71"/>
      <c r="B199" s="138"/>
      <c r="C199" s="82"/>
      <c r="D199" s="36" t="s">
        <v>922</v>
      </c>
      <c r="E199" s="283" t="str">
        <f>IF(Nomenclature!$K$5="F","GJ0397000",IF(Nomenclature!$K$5="N","GJ0397100","GJ0397?00"))</f>
        <v>GJ0397?00</v>
      </c>
      <c r="F199" s="283" t="str">
        <f>IF(Nomenclature!$K$5="F",": GJ0034018",IF(Nomenclature!$K$5="N",": GJ0417018",": GJ0???018"))</f>
        <v>: GJ0???018</v>
      </c>
      <c r="G199" s="87" t="s">
        <v>921</v>
      </c>
      <c r="H199" s="283" t="str">
        <f>IF(Nomenclature!$K$5="F",": GJ0028423",IF(Nomenclature!$K$5="N",": GJ0428423",": GJ0?28423"))</f>
        <v>: GJ0?28423</v>
      </c>
      <c r="I199" s="283" t="str">
        <f>IF(Nomenclature!$K$5="F","GJ0034018",IF(Nomenclature!$K$5="N","GJ0417018","GJ0???018"))</f>
        <v>GJ0???018</v>
      </c>
      <c r="J199" s="137" t="e">
        <f>HLOOKUP(Nomenclature!$O$5,Lookup!$K$195:$N$213,5)</f>
        <v>#N/A</v>
      </c>
      <c r="K199" s="171" t="str">
        <f>IF(Nomenclature!$K$5="F","GJ9106312",IF(Nomenclature!$K$5="N","GJ9176312","GJ91?6312"))</f>
        <v>GJ91?6312</v>
      </c>
      <c r="L199" s="171" t="str">
        <f>IF(Nomenclature!$K$5="F","GJ9106315",IF(Nomenclature!$K$5="N","GJ9176315","GJ91?6315"))</f>
        <v>GJ91?6315</v>
      </c>
      <c r="M199" s="171" t="str">
        <f>IF(Nomenclature!$K$5="F","GJ9106316",IF(Nomenclature!$K$5="N","GJ9176316","GJ91?6316?"))</f>
        <v>GJ91?6316?</v>
      </c>
      <c r="N199" s="171" t="str">
        <f>IF(Nomenclature!$K$5="F","GJ9106317",IF(Nomenclature!$K$5="N","GJ9176317","GJ91?6317"))</f>
        <v>GJ91?6317</v>
      </c>
      <c r="O199" s="45" t="s">
        <v>354</v>
      </c>
      <c r="P199" s="267" t="s">
        <v>919</v>
      </c>
    </row>
    <row r="200" spans="1:16" ht="15">
      <c r="A200" s="71"/>
      <c r="B200" s="138"/>
      <c r="C200" s="82"/>
      <c r="D200" s="36" t="s">
        <v>923</v>
      </c>
      <c r="E200" s="283" t="str">
        <f>IF(Nomenclature!$K$5="F","GJ0397000",IF(Nomenclature!$K$5="N","GJ0397100","GJ0397?00"))</f>
        <v>GJ0397?00</v>
      </c>
      <c r="F200" s="283" t="str">
        <f>IF(Nomenclature!$K$5="F",": GJ0034018",IF(Nomenclature!$K$5="N",": GJ0417018",": GJ0???018"))</f>
        <v>: GJ0???018</v>
      </c>
      <c r="G200" s="87" t="s">
        <v>921</v>
      </c>
      <c r="H200" s="283" t="str">
        <f>IF(Nomenclature!$K$5="F",": GJ0028423",IF(Nomenclature!$K$5="N",": GJ0428423",": GJ0?28423"))</f>
        <v>: GJ0?28423</v>
      </c>
      <c r="I200" s="283" t="str">
        <f>IF(Nomenclature!$K$5="F","GJ0034018",IF(Nomenclature!$K$5="N","GJ0417018","GJ0???018"))</f>
        <v>GJ0???018</v>
      </c>
      <c r="J200" s="137" t="e">
        <f>HLOOKUP(Nomenclature!$O$5,Lookup!$K$195:$N$213,6)</f>
        <v>#N/A</v>
      </c>
      <c r="K200" s="171" t="str">
        <f>IF(Nomenclature!$K$5="F","GJ9106312",IF(Nomenclature!$K$5="N","GJ9176312","GJ91?6312"))</f>
        <v>GJ91?6312</v>
      </c>
      <c r="L200" s="171" t="str">
        <f>IF(Nomenclature!$K$5="F","GJ9106315",IF(Nomenclature!$K$5="N","GJ9176315","GJ91?6315"))</f>
        <v>GJ91?6315</v>
      </c>
      <c r="M200" s="171" t="str">
        <f>IF(Nomenclature!$K$5="F","GJ9106316",IF(Nomenclature!$K$5="N","GJ9176316","GJ91?6316?"))</f>
        <v>GJ91?6316?</v>
      </c>
      <c r="N200" s="171" t="str">
        <f>IF(Nomenclature!$K$5="F","GJ9106317",IF(Nomenclature!$K$5="N","GJ9176317","GJ91?6317"))</f>
        <v>GJ91?6317</v>
      </c>
      <c r="O200" s="45" t="s">
        <v>354</v>
      </c>
      <c r="P200" s="267" t="s">
        <v>919</v>
      </c>
    </row>
    <row r="201" spans="1:16" ht="15">
      <c r="A201" s="71"/>
      <c r="B201" s="138"/>
      <c r="C201" s="82"/>
      <c r="D201" s="36" t="s">
        <v>924</v>
      </c>
      <c r="E201" s="283" t="str">
        <f>IF(Nomenclature!$K$5="H","GJ0398000",IF(Nomenclature!$K$5="P","GJ0398100","GJ0398?00"))</f>
        <v>GJ0398?00</v>
      </c>
      <c r="F201" s="283" t="str">
        <f>IF(Nomenclature!$K$5="H",": GJ0035022",IF(Nomenclature!$K$5="P",": GJ0418022",": GJ0???022"))</f>
        <v>: GJ0???022</v>
      </c>
      <c r="G201" s="87" t="s">
        <v>925</v>
      </c>
      <c r="H201" s="283" t="str">
        <f>IF(Nomenclature!$K$5="H",": GJ0028608",IF(Nomenclature!$K$5="P",": GJ0428608",": GJ0?28608"))</f>
        <v>: GJ0?28608</v>
      </c>
      <c r="I201" s="283" t="str">
        <f>IF(Nomenclature!$K$5="H","GJ0035022",IF(Nomenclature!$K$5="P","GJ0418022","GJ0???022"))</f>
        <v>GJ0???022</v>
      </c>
      <c r="J201" s="137" t="e">
        <f>HLOOKUP(Nomenclature!$O$5,Lookup!$K$195:$N$213,7)</f>
        <v>#N/A</v>
      </c>
      <c r="K201" s="171" t="str">
        <f>IF(Nomenclature!$K$5="H","GJ9108311",IF(Nomenclature!$K$5="P","GJ9178311","GJ91?8311"))</f>
        <v>GJ91?8311</v>
      </c>
      <c r="L201" s="171" t="str">
        <f>IF(Nomenclature!$K$5="H","GJ9108312",IF(Nomenclature!$K$5="P","GJ9178312","GJ91?8312"))</f>
        <v>GJ91?8312</v>
      </c>
      <c r="M201" s="171" t="str">
        <f>IF(Nomenclature!$K$5="H","GJ9108313",IF(Nomenclature!$K$5="P","GJ9178313","GJ91?8313"))</f>
        <v>GJ91?8313</v>
      </c>
      <c r="N201" s="171" t="str">
        <f>IF(Nomenclature!$K$5="H","GJ9108314",IF(Nomenclature!$K$5="P","GJ9178314","GJ91?8314"))</f>
        <v>GJ91?8314</v>
      </c>
      <c r="O201" s="45" t="s">
        <v>356</v>
      </c>
      <c r="P201" s="267" t="s">
        <v>919</v>
      </c>
    </row>
    <row r="202" spans="1:16" ht="15">
      <c r="A202" s="71"/>
      <c r="B202" s="138"/>
      <c r="C202" s="82"/>
      <c r="D202" s="36" t="s">
        <v>926</v>
      </c>
      <c r="E202" s="283" t="str">
        <f>IF(Nomenclature!$K$5="F","GJ0397000",IF(Nomenclature!$K$5="N","GJ0397100","GJ0397?00"))</f>
        <v>GJ0397?00</v>
      </c>
      <c r="F202" s="283" t="str">
        <f>IF(Nomenclature!$K$5="F",": GJ0034018",IF(Nomenclature!$K$5="N",": GJ0417018",": GJ0???018"))</f>
        <v>: GJ0???018</v>
      </c>
      <c r="G202" s="87" t="s">
        <v>921</v>
      </c>
      <c r="H202" s="283" t="str">
        <f>IF(Nomenclature!$K$5="F",": GJ0028423",IF(Nomenclature!$K$5="N",": GJ0428423",": GJ0?28423"))</f>
        <v>: GJ0?28423</v>
      </c>
      <c r="I202" s="283" t="str">
        <f>IF(Nomenclature!$K$5="F","GJ0034018",IF(Nomenclature!$K$5="N","GJ0417018","GJ0???018"))</f>
        <v>GJ0???018</v>
      </c>
      <c r="J202" s="137" t="e">
        <f>HLOOKUP(Nomenclature!$O$5,Lookup!$K$195:$N$213,8)</f>
        <v>#N/A</v>
      </c>
      <c r="K202" s="171" t="str">
        <f>IF(Nomenclature!$K$5="F","GJ9106312",IF(Nomenclature!$K$5="N","GJ9176312","GJ91?6312"))</f>
        <v>GJ91?6312</v>
      </c>
      <c r="L202" s="171" t="str">
        <f>IF(Nomenclature!$K$5="F","GJ9106315",IF(Nomenclature!$K$5="N","GJ9176315","GJ91?6315"))</f>
        <v>GJ91?6315</v>
      </c>
      <c r="M202" s="171" t="str">
        <f>IF(Nomenclature!$K$5="F","GJ9106316",IF(Nomenclature!$K$5="N","GJ9176316","GJ91?6316?"))</f>
        <v>GJ91?6316?</v>
      </c>
      <c r="N202" s="171" t="str">
        <f>IF(Nomenclature!$K$5="F","GJ9106317",IF(Nomenclature!$K$5="N","GJ9176317","GJ91?6317"))</f>
        <v>GJ91?6317</v>
      </c>
      <c r="O202" s="45" t="s">
        <v>354</v>
      </c>
      <c r="P202" s="267" t="s">
        <v>919</v>
      </c>
    </row>
    <row r="203" spans="1:16" ht="15">
      <c r="A203" s="71"/>
      <c r="B203" s="138"/>
      <c r="C203" s="82"/>
      <c r="D203" s="36" t="s">
        <v>927</v>
      </c>
      <c r="E203" s="283" t="str">
        <f>IF(Nomenclature!$K$5="H","GJ0398000",IF(Nomenclature!$K$5="P","GJ0398100","GJ0398?00"))</f>
        <v>GJ0398?00</v>
      </c>
      <c r="F203" s="283" t="str">
        <f>IF(Nomenclature!$K$5="H",": GJ0035022",IF(Nomenclature!$K$5="P",": GJ0418022",": GJ0???022"))</f>
        <v>: GJ0???022</v>
      </c>
      <c r="G203" s="87" t="s">
        <v>925</v>
      </c>
      <c r="H203" s="283" t="str">
        <f>IF(Nomenclature!$K$5="H",": GJ0028608",IF(Nomenclature!$K$5="P",": GJ0428608",": GJ0?28608"))</f>
        <v>: GJ0?28608</v>
      </c>
      <c r="I203" s="283" t="str">
        <f>IF(Nomenclature!$K$5="H","GJ0035022",IF(Nomenclature!$K$5="P","GJ0418022","GJ0???022"))</f>
        <v>GJ0???022</v>
      </c>
      <c r="J203" s="137" t="e">
        <f>HLOOKUP(Nomenclature!$O$5,Lookup!$K$195:$N$213,9)</f>
        <v>#N/A</v>
      </c>
      <c r="K203" s="171" t="str">
        <f>IF(Nomenclature!$K$5="H","GJ9108311",IF(Nomenclature!$K$5="P","GJ9178311","GJ91?8311"))</f>
        <v>GJ91?8311</v>
      </c>
      <c r="L203" s="171" t="str">
        <f>IF(Nomenclature!$K$5="H","GJ9108312",IF(Nomenclature!$K$5="P","GJ9178312","GJ91?8312"))</f>
        <v>GJ91?8312</v>
      </c>
      <c r="M203" s="171" t="str">
        <f>IF(Nomenclature!$K$5="H","GJ9108313",IF(Nomenclature!$K$5="P","GJ9178313","GJ91?8313"))</f>
        <v>GJ91?8313</v>
      </c>
      <c r="N203" s="171" t="str">
        <f>IF(Nomenclature!$K$5="H","GJ9108314",IF(Nomenclature!$K$5="P","GJ9178314","GJ91?8314"))</f>
        <v>GJ91?8314</v>
      </c>
      <c r="O203" s="45" t="s">
        <v>356</v>
      </c>
      <c r="P203" s="267" t="s">
        <v>919</v>
      </c>
    </row>
    <row r="204" spans="1:16" ht="15">
      <c r="A204" s="71"/>
      <c r="B204" s="71"/>
      <c r="C204" s="82"/>
      <c r="D204" s="36" t="s">
        <v>928</v>
      </c>
      <c r="E204" s="283" t="str">
        <f>IF(Nomenclature!$K$5="D","GJ0396000",IF(Nomenclature!$K$5="L","GJ0396100","GJ0396?00"))</f>
        <v>GJ0396?00</v>
      </c>
      <c r="F204" s="283" t="str">
        <f>IF(Nomenclature!$K$5="D",": GJ0033008",IF(Nomenclature!$K$5="L",": GJ0416008",": GJ0??????"))</f>
        <v>: GJ0??????</v>
      </c>
      <c r="G204" s="87" t="s">
        <v>917</v>
      </c>
      <c r="H204" s="283" t="str">
        <f>IF(Nomenclature!$K$5="D",": GJ0028227",IF(Nomenclature!$K$5="L",": GJ0428227",": GJ0?28227"))</f>
        <v>: GJ0?28227</v>
      </c>
      <c r="I204" s="283" t="str">
        <f>IF(Nomenclature!$K$5="D","GJ0033008",IF(Nomenclature!$K$5="L","GJ0416008","GJ0???008"))</f>
        <v>GJ0???008</v>
      </c>
      <c r="J204" s="137" t="e">
        <f>HLOOKUP(Nomenclature!$O$5,Lookup!$K$195:$N$213,10)</f>
        <v>#N/A</v>
      </c>
      <c r="K204" s="171" t="str">
        <f>IF(Nomenclature!$K$5="D","GJ9104350",IF(Nomenclature!$K$5="L","GJ9174350","GJ91?4350"))</f>
        <v>GJ91?4350</v>
      </c>
      <c r="L204" s="171" t="str">
        <f>IF(Nomenclature!$K$5="D","GJ9104351",IF(Nomenclature!$K$5="L","GJ9174351","GJ91?4351"))</f>
        <v>GJ91?4351</v>
      </c>
      <c r="M204" s="285" t="str">
        <f>IF(Nomenclature!$K$5="D","GJ9104352",IF(Nomenclature!$K$5="L","GJ9174352","GJ91?4352"))</f>
        <v>GJ91?4352</v>
      </c>
      <c r="N204" s="285" t="str">
        <f>IF(Nomenclature!$K$5="D","GJ9104353",IF(Nomenclature!$K$5="L","GJ9174353","GJ91?4353"))</f>
        <v>GJ91?4353</v>
      </c>
      <c r="O204" s="45" t="s">
        <v>819</v>
      </c>
      <c r="P204" s="267" t="s">
        <v>919</v>
      </c>
    </row>
    <row r="205" spans="1:16" ht="15">
      <c r="A205" s="71"/>
      <c r="B205" s="71"/>
      <c r="C205" s="82"/>
      <c r="D205" s="36" t="s">
        <v>929</v>
      </c>
      <c r="E205" s="283" t="str">
        <f>IF(Nomenclature!$K$5="D","GJ0407000",IF(Nomenclature!$K$5="L","GJ0407100","GJ0407?00"))</f>
        <v>GJ0407?00</v>
      </c>
      <c r="F205" s="283" t="str">
        <f>IF(Nomenclature!$K$5="D",": GJ0033008",IF(Nomenclature!$K$5="L",": GJ0416008",": GJ0??????"))</f>
        <v>: GJ0??????</v>
      </c>
      <c r="G205" s="87" t="s">
        <v>917</v>
      </c>
      <c r="H205" s="283" t="str">
        <f>IF(Nomenclature!$K$5="D",": GJ0028227",IF(Nomenclature!$K$5="L",": GJ0428227",": GJ0?28227"))</f>
        <v>: GJ0?28227</v>
      </c>
      <c r="I205" s="283" t="str">
        <f>IF(Nomenclature!$K$5="D","GJ0033008",IF(Nomenclature!$K$5="L","GJ0416008","GJ0???008"))</f>
        <v>GJ0???008</v>
      </c>
      <c r="J205" s="137" t="e">
        <f>HLOOKUP(Nomenclature!$O$5,Lookup!$K$195:$N$213,11)</f>
        <v>#N/A</v>
      </c>
      <c r="K205" s="171" t="str">
        <f>IF(AND($C$49=2,Nomenclature!$K$5="D"),"GJ9104350",IF(AND($C$49=2,Nomenclature!$K$5="L"),"GJ9174350",IF(AND($C$49&lt;&gt;2,Nomenclature!$K$5="D"),"GJ9104361",IF(AND($C$49&lt;&gt;2,Nomenclature!$K$5="L"),"GJ9174361","GJ91?43??"))))</f>
        <v>GJ91?43??</v>
      </c>
      <c r="L205" s="171" t="str">
        <f>IF(AND($C$49=2,Nomenclature!$K$5="D"),"GJ9104350",IF(AND($C$49=2,Nomenclature!$K$5="L"),"GJ9174350",IF(AND($C$49&lt;&gt;2,Nomenclature!$K$5="D"),"GJ9104362",IF(AND($C$49&lt;&gt;2,Nomenclature!$K$5="L"),"GJ9174362","GJ91?43??"))))</f>
        <v>GJ91?43??</v>
      </c>
      <c r="M205" s="171" t="str">
        <f>IF(AND($C$49=2,Nomenclature!$K$5="D"),"GJ9104350",IF(AND($C$49=2,Nomenclature!$K$5="L"),"GJ9174350",IF(AND($C$49&lt;&gt;2,Nomenclature!$K$5="D"),"GJ9104361",IF(AND($C$49&lt;&gt;2,Nomenclature!$K$5="L"),"GJ9174361","GJ91?43??"))))</f>
        <v>GJ91?43??</v>
      </c>
      <c r="N205" s="171" t="str">
        <f>IF(AND($C$49=2,Nomenclature!$K$5="D"),"GJ9104350",IF(AND($C$49=2,Nomenclature!$K$5="L"),"GJ9174350",IF(AND($C$49&lt;&gt;2,Nomenclature!$K$5="D"),"GJ9104361",IF(AND($C$49&lt;&gt;2,Nomenclature!$K$5="L"),"GJ9174361","GJ91?43??"))))</f>
        <v>GJ91?43??</v>
      </c>
      <c r="O205" s="45" t="s">
        <v>819</v>
      </c>
      <c r="P205" s="267" t="s">
        <v>919</v>
      </c>
    </row>
    <row r="206" spans="1:16" ht="15">
      <c r="A206" s="71"/>
      <c r="B206" s="71"/>
      <c r="C206" s="82"/>
      <c r="D206" s="36" t="s">
        <v>930</v>
      </c>
      <c r="E206" s="283" t="str">
        <f>IF(AND($C$38&gt;2,Nomenclature!$K$5="D"),"GJ0407000",IF(AND($C$38&gt;2,Nomenclature!$K$5="L"),"GJ0407100",IF(AND($C$38&lt;3,Nomenclature!$K$5="D"),"GJ0396000",IF(AND($C$38&lt;3,Nomenclature!$K$5="L"),"GJ0396100","GJ0????00"))))</f>
        <v>GJ0????00</v>
      </c>
      <c r="F206" s="283" t="str">
        <f>IF(Nomenclature!$K$5="D",": GJ0033008",IF(Nomenclature!$K$5="L",": GJ0416008",": GJ0??????"))</f>
        <v>: GJ0??????</v>
      </c>
      <c r="G206" s="87" t="s">
        <v>917</v>
      </c>
      <c r="H206" s="283" t="str">
        <f>IF(Nomenclature!$K$5="D",": GJ0028227",IF(Nomenclature!$K$5="L",": GJ0428227",": GJ0?28227"))</f>
        <v>: GJ0?28227</v>
      </c>
      <c r="I206" s="283" t="str">
        <f>IF(Nomenclature!$K$5="D","GJ0033008",IF(Nomenclature!$K$5="L","GJ0416008","GJ0???008"))</f>
        <v>GJ0???008</v>
      </c>
      <c r="J206" s="137" t="e">
        <f>HLOOKUP(Nomenclature!$O$5,Lookup!$K$195:$N$213,12)</f>
        <v>#N/A</v>
      </c>
      <c r="K206" s="171" t="str">
        <f>IF(Nomenclature!$K$5="D","GJ9104350",IF(Nomenclature!$K$5="L","GJ9174350","GJ91?4350"))</f>
        <v>GJ91?4350</v>
      </c>
      <c r="L206" s="171" t="str">
        <f>IF(Nomenclature!$K$5="D","GJ9104351",IF(Nomenclature!$K$5="L","GJ9174351","GJ91?4351"))</f>
        <v>GJ91?4351</v>
      </c>
      <c r="M206" s="285" t="str">
        <f>IF(Nomenclature!$K$5="D","GJ9104352",IF(Nomenclature!$K$5="L","GJ9174352","GJ91?4352"))</f>
        <v>GJ91?4352</v>
      </c>
      <c r="N206" s="285" t="str">
        <f>IF(Nomenclature!$K$5="D","GJ9104353",IF(Nomenclature!$K$5="L","GJ9174353","GJ91?4353"))</f>
        <v>GJ91?4353</v>
      </c>
      <c r="O206" s="45" t="s">
        <v>819</v>
      </c>
      <c r="P206" s="37" t="str">
        <f>IF(OR(Nomenclature!$J$5="02",Nomenclature!$J$5="03",Nomenclature!$J$5="XY"),"ZB9598056","ZB9598054")</f>
        <v>ZB9598054</v>
      </c>
    </row>
    <row r="207" spans="1:16" ht="15">
      <c r="A207" s="71"/>
      <c r="B207" s="71"/>
      <c r="C207" s="82"/>
      <c r="D207" s="36" t="s">
        <v>931</v>
      </c>
      <c r="E207" s="283" t="str">
        <f>IF(Nomenclature!$K$5="H","GJ0409000",IF(Nomenclature!$K$5="P","GJ0409100","GJ0409?00"))</f>
        <v>GJ0409?00</v>
      </c>
      <c r="F207" s="283" t="str">
        <f>IF(Nomenclature!$K$5="H",": GJ0035022",IF(Nomenclature!$K$5="P",": GJ0418022",": GJ0???022"))</f>
        <v>: GJ0???022</v>
      </c>
      <c r="G207" s="87" t="s">
        <v>925</v>
      </c>
      <c r="H207" s="283" t="str">
        <f>IF(Nomenclature!$K$5="H",": GJ0028612",IF(Nomenclature!$K$5="P",": GJ0428612",": GJ0?28612"))</f>
        <v>: GJ0?28612</v>
      </c>
      <c r="I207" s="283" t="str">
        <f>IF(Nomenclature!$K$5="H","GJ0035022",IF(Nomenclature!$K$5="P","GJ0418022","GJ0???022"))</f>
        <v>GJ0???022</v>
      </c>
      <c r="J207" s="137" t="e">
        <f>HLOOKUP(Nomenclature!$O$5,Lookup!$K$195:$N$213,13)</f>
        <v>#N/A</v>
      </c>
      <c r="K207" s="171" t="str">
        <f>IF(Nomenclature!$K$5="H","GJ9108318",IF(Nomenclature!$K$5="P","GJ9178318","GJ91?8318"))</f>
        <v>GJ91?8318</v>
      </c>
      <c r="L207" s="72" t="s">
        <v>142</v>
      </c>
      <c r="M207" s="72" t="s">
        <v>142</v>
      </c>
      <c r="N207" s="72" t="s">
        <v>142</v>
      </c>
      <c r="O207" s="45" t="s">
        <v>356</v>
      </c>
      <c r="P207" s="267" t="s">
        <v>919</v>
      </c>
    </row>
    <row r="208" spans="1:16" ht="15">
      <c r="A208" s="71"/>
      <c r="B208" s="71"/>
      <c r="C208" s="82"/>
      <c r="D208" s="36" t="s">
        <v>131</v>
      </c>
      <c r="E208" s="283" t="str">
        <f>IF(Nomenclature!$K$5="H","GJ0409000",IF(Nomenclature!$K$5="P","GJ0409100","GJ0409?00"))</f>
        <v>GJ0409?00</v>
      </c>
      <c r="F208" s="283" t="str">
        <f>IF(Nomenclature!$K$5="H",": GJ0035022",IF(Nomenclature!$K$5="P",": GJ0418022",": GJ0???022"))</f>
        <v>: GJ0???022</v>
      </c>
      <c r="G208" s="87" t="s">
        <v>925</v>
      </c>
      <c r="H208" s="283" t="str">
        <f>IF(Nomenclature!$K$5="H",": GJ0028612",IF(Nomenclature!$K$5="P",": GJ0428612",": GJ0?28612"))</f>
        <v>: GJ0?28612</v>
      </c>
      <c r="I208" s="283" t="str">
        <f>IF(Nomenclature!$K$5="H","GJ0035022",IF(Nomenclature!$K$5="P","GJ0418022","GJ0???022"))</f>
        <v>GJ0???022</v>
      </c>
      <c r="J208" s="137" t="e">
        <f>HLOOKUP(Nomenclature!$O$5,Lookup!$K$195:$N$213,14)</f>
        <v>#N/A</v>
      </c>
      <c r="K208" s="171" t="str">
        <f>IF(Nomenclature!$K$5="H","GJ9108318",IF(Nomenclature!$K$5="P","GJ9178318","GJ91?8318"))</f>
        <v>GJ91?8318</v>
      </c>
      <c r="L208" s="72" t="s">
        <v>142</v>
      </c>
      <c r="M208" s="72" t="s">
        <v>142</v>
      </c>
      <c r="N208" s="72" t="s">
        <v>142</v>
      </c>
      <c r="O208" s="45" t="s">
        <v>356</v>
      </c>
      <c r="P208" s="267" t="s">
        <v>919</v>
      </c>
    </row>
    <row r="209" spans="1:16" ht="15">
      <c r="A209" s="71"/>
      <c r="B209" s="71"/>
      <c r="C209" s="82"/>
      <c r="D209" s="36" t="s">
        <v>932</v>
      </c>
      <c r="E209" s="283" t="str">
        <f>IF(Nomenclature!$K$5="H","GJ0409000",IF(Nomenclature!$K$5="P","GJ0409100","GJ0409?00"))</f>
        <v>GJ0409?00</v>
      </c>
      <c r="F209" s="283" t="str">
        <f>IF(Nomenclature!$K$5="H",": GJ0035022",IF(Nomenclature!$K$5="P",": GJ0418022",": GJ0???022"))</f>
        <v>: GJ0???022</v>
      </c>
      <c r="G209" s="87" t="s">
        <v>925</v>
      </c>
      <c r="H209" s="283" t="str">
        <f>IF(Nomenclature!$K$5="H",": GJ0028611",IF(Nomenclature!$K$5="P",": GJ0428611",": GJ0?28611"))</f>
        <v>: GJ0?28611</v>
      </c>
      <c r="I209" s="283" t="str">
        <f>IF(Nomenclature!$K$5="H","GJ0035022",IF(Nomenclature!$K$5="P","GJ0418022","GJ0???022"))</f>
        <v>GJ0???022</v>
      </c>
      <c r="J209" s="137" t="e">
        <f>HLOOKUP(Nomenclature!$O$5,Lookup!$K$195:$N$213,15)</f>
        <v>#N/A</v>
      </c>
      <c r="K209" s="171" t="str">
        <f>IF(Nomenclature!$K$5="H","GJ9108319",IF(Nomenclature!$K$5="P","GJ9178319","GJ91?8319"))</f>
        <v>GJ91?8319</v>
      </c>
      <c r="L209" s="171" t="str">
        <f>IF(Nomenclature!$K$5="H","GJ9108319",IF(Nomenclature!$K$5="P","GJ9178319","GJ91?8319"))</f>
        <v>GJ91?8319</v>
      </c>
      <c r="M209" s="171" t="str">
        <f>IF(Nomenclature!$K$5="H","GJ9108319",IF(Nomenclature!$K$5="P","GJ9178319","GJ91?8319"))</f>
        <v>GJ91?8319</v>
      </c>
      <c r="N209" s="171" t="str">
        <f>IF(Nomenclature!$K$5="H","GJ9108319",IF(Nomenclature!$K$5="P","GJ9178319","GJ91?8319"))</f>
        <v>GJ91?8319</v>
      </c>
      <c r="O209" s="45" t="s">
        <v>356</v>
      </c>
      <c r="P209" s="267" t="s">
        <v>919</v>
      </c>
    </row>
    <row r="210" spans="1:16" s="141" customFormat="1" ht="15">
      <c r="A210" s="72"/>
      <c r="B210" s="72"/>
      <c r="C210" s="172"/>
      <c r="D210" s="36" t="s">
        <v>933</v>
      </c>
      <c r="E210" s="283" t="str">
        <f>IF(Nomenclature!$K$5="D","GJ0404000",IF(Nomenclature!$K$5="L","GJ0404100","GJ0404?00"))</f>
        <v>GJ0404?00</v>
      </c>
      <c r="F210" s="283" t="str">
        <f>IF(Nomenclature!$K$5="D",": GJ0033008",IF(Nomenclature!$K$5="L",": GJ0416008",": GJ0??????"))</f>
        <v>: GJ0??????</v>
      </c>
      <c r="G210" s="87" t="s">
        <v>917</v>
      </c>
      <c r="H210" s="283" t="str">
        <f>IF(Nomenclature!$K$5="D",": GJ0028227",IF(Nomenclature!$K$5="L",": GJ0428227",": GJ0?28227"))</f>
        <v>: GJ0?28227</v>
      </c>
      <c r="I210" s="283" t="str">
        <f>IF(Nomenclature!$K$5="D","GJ0033008",IF(Nomenclature!$K$5="L","GJ0416008","GJ0???008"))</f>
        <v>GJ0???008</v>
      </c>
      <c r="J210" s="137" t="e">
        <f>HLOOKUP(Nomenclature!$O$5,Lookup!$K$195:$N$213,16)</f>
        <v>#N/A</v>
      </c>
      <c r="K210" s="171" t="str">
        <f>IF(Nomenclature!$K$5="D","GJ9104355",IF(Nomenclature!$K$5="L","GJ9174355","GJ91?4355"))</f>
        <v>GJ91?4355</v>
      </c>
      <c r="L210" s="171" t="str">
        <f>IF(Nomenclature!$K$5="D","GJ9104356",IF(Nomenclature!$K$5="L","GJ9174356","GJ91?4356"))</f>
        <v>GJ91?4356</v>
      </c>
      <c r="M210" s="171" t="str">
        <f>IF(Nomenclature!$K$5="D","GJ9104357",IF(Nomenclature!$K$5="L","GJ9174357","GJ91?4357"))</f>
        <v>GJ91?4357</v>
      </c>
      <c r="N210" s="171" t="str">
        <f>IF(Nomenclature!$K$5="D","GJ9104358",IF(Nomenclature!$K$5="L","GJ9174358","GJ91?4358"))</f>
        <v>GJ91?4358</v>
      </c>
      <c r="O210" s="45" t="s">
        <v>819</v>
      </c>
      <c r="P210" s="267" t="s">
        <v>919</v>
      </c>
    </row>
    <row r="211" spans="1:16" ht="15">
      <c r="A211" s="71"/>
      <c r="B211" s="71"/>
      <c r="C211" s="82"/>
      <c r="D211" s="36" t="s">
        <v>934</v>
      </c>
      <c r="E211" s="283" t="str">
        <f>IF(Nomenclature!$K$5="D","GJ0404000",IF(Nomenclature!$K$5="L","GJ0404100","GJ0404?00"))</f>
        <v>GJ0404?00</v>
      </c>
      <c r="F211" s="283" t="str">
        <f>IF(Nomenclature!$K$5="D",": GJ0033008",IF(Nomenclature!$K$5="L",": GJ0416008",": GJ0??????"))</f>
        <v>: GJ0??????</v>
      </c>
      <c r="G211" s="87" t="s">
        <v>917</v>
      </c>
      <c r="H211" s="283" t="str">
        <f>IF(Nomenclature!$K$5="D",": GJ0028227",IF(Nomenclature!$K$5="L",": GJ0428227",": GJ0?28227"))</f>
        <v>: GJ0?28227</v>
      </c>
      <c r="I211" s="283" t="str">
        <f>IF(Nomenclature!$K$5="D","GJ0033008",IF(Nomenclature!$K$5="L","GJ0416008","GJ0???008"))</f>
        <v>GJ0???008</v>
      </c>
      <c r="J211" s="137" t="e">
        <f>HLOOKUP(Nomenclature!$O$5,Lookup!$K$195:$N$213,17)</f>
        <v>#N/A</v>
      </c>
      <c r="K211" s="171" t="str">
        <f>IF(Nomenclature!$K$5="D","GJ9104355",IF(Nomenclature!$K$5="L","GJ9174355","GJ91?4355"))</f>
        <v>GJ91?4355</v>
      </c>
      <c r="L211" s="171" t="str">
        <f>IF(Nomenclature!$K$5="D","GJ9104356",IF(Nomenclature!$K$5="L","GJ9174356","GJ91?4356"))</f>
        <v>GJ91?4356</v>
      </c>
      <c r="M211" s="171" t="str">
        <f>IF(Nomenclature!$K$5="D","GJ9104357",IF(Nomenclature!$K$5="L","GJ9174357","GJ91?4357"))</f>
        <v>GJ91?4357</v>
      </c>
      <c r="N211" s="171" t="str">
        <f>IF(Nomenclature!$K$5="D","GJ9104358",IF(Nomenclature!$K$5="L","GJ9174358","GJ91?4358"))</f>
        <v>GJ91?4358</v>
      </c>
      <c r="O211" s="45" t="s">
        <v>819</v>
      </c>
      <c r="P211" s="267" t="s">
        <v>919</v>
      </c>
    </row>
    <row r="212" spans="1:16" ht="15">
      <c r="A212" s="71"/>
      <c r="B212" s="71"/>
      <c r="C212" s="82"/>
      <c r="D212" s="45" t="s">
        <v>935</v>
      </c>
      <c r="E212" s="283" t="str">
        <f>IF(Nomenclature!$K$5="F","GJ0399000",IF(Nomenclature!$K$5="N","GJ0399100","GJ0399?00"))</f>
        <v>GJ0399?00</v>
      </c>
      <c r="F212" s="283" t="str">
        <f>IF(Nomenclature!$K$5="F",": GJ0034018",IF(Nomenclature!$K$5="N",": GJ0417018",": GJ0???018"))</f>
        <v>: GJ0???018</v>
      </c>
      <c r="G212" s="173" t="s">
        <v>921</v>
      </c>
      <c r="H212" s="283" t="str">
        <f>IF(Nomenclature!$K$5="F",": GJ0028423",IF(Nomenclature!$K$5="N",": GJ0428423",": GJ0?28423"))</f>
        <v>: GJ0?28423</v>
      </c>
      <c r="I212" s="283" t="str">
        <f>IF(Nomenclature!$K$5="F","GJ0034018",IF(Nomenclature!$K$5="N","GJ0417018","GJ0???018"))</f>
        <v>GJ0???018</v>
      </c>
      <c r="J212" s="137" t="e">
        <f>HLOOKUP(Nomenclature!$O$5,Lookup!$K$195:$N$213,18)</f>
        <v>#N/A</v>
      </c>
      <c r="K212" s="171" t="str">
        <f>IF(Nomenclature!$K$5="F","GJ9106314",IF(Nomenclature!$K$5="N","GJ9176314","GJ91?6314"))</f>
        <v>GJ91?6314</v>
      </c>
      <c r="L212" s="171" t="str">
        <f>IF(Nomenclature!$K$5="F","GJ9106319",IF(Nomenclature!$K$5="N","GJ9176319","GJ91?6319"))</f>
        <v>GJ91?6319</v>
      </c>
      <c r="M212" s="171" t="str">
        <f>IF(Nomenclature!$K$5="F","GJ9106320",IF(Nomenclature!$K$5="N","GJ9176320","GJ91?6320"))</f>
        <v>GJ91?6320</v>
      </c>
      <c r="N212" s="171" t="str">
        <f>IF(Nomenclature!$K$5="F","GJ9106321",IF(Nomenclature!$K$5="N","GJ9176321","GJ91?6321"))</f>
        <v>GJ91?6321</v>
      </c>
      <c r="O212" s="45" t="s">
        <v>354</v>
      </c>
      <c r="P212" s="267" t="s">
        <v>919</v>
      </c>
    </row>
    <row r="213" spans="1:16" ht="15">
      <c r="A213" s="71"/>
      <c r="B213" s="71"/>
      <c r="C213" s="82"/>
      <c r="D213" s="45" t="s">
        <v>248</v>
      </c>
      <c r="E213" s="283" t="str">
        <f>IF(Nomenclature!$K$5="F","GJ0399000",IF(Nomenclature!$K$5="N","GJ0399100","GJ0399?00"))</f>
        <v>GJ0399?00</v>
      </c>
      <c r="F213" s="283" t="str">
        <f>IF(Nomenclature!$K$5="F",": GJ0034018",IF(Nomenclature!$K$5="N",": GJ0417018",": GJ0???018"))</f>
        <v>: GJ0???018</v>
      </c>
      <c r="G213" s="173" t="s">
        <v>921</v>
      </c>
      <c r="H213" s="283" t="str">
        <f>IF(Nomenclature!$K$5="F",": GJ0028423",IF(Nomenclature!$K$5="N",": GJ0428423",": GJ0?28423"))</f>
        <v>: GJ0?28423</v>
      </c>
      <c r="I213" s="283" t="str">
        <f>IF(Nomenclature!$K$5="F","GJ0034018",IF(Nomenclature!$K$5="N","GJ0417018","GJ0???018"))</f>
        <v>GJ0???018</v>
      </c>
      <c r="J213" s="137" t="e">
        <f>HLOOKUP(Nomenclature!$O$5,Lookup!$K$195:$N$213,18)</f>
        <v>#N/A</v>
      </c>
      <c r="K213" s="171" t="str">
        <f>IF(Nomenclature!$K$5="F","GJ9106314",IF(Nomenclature!$K$5="N","GJ9176314","GJ91?6314"))</f>
        <v>GJ91?6314</v>
      </c>
      <c r="L213" s="171" t="str">
        <f>IF(Nomenclature!$K$5="F","GJ9106319",IF(Nomenclature!$K$5="N","GJ9176319","GJ91?6319"))</f>
        <v>GJ91?6319</v>
      </c>
      <c r="M213" s="171" t="str">
        <f>IF(Nomenclature!$K$5="F","GJ9106320",IF(Nomenclature!$K$5="N","GJ9176320","GJ91?6320"))</f>
        <v>GJ91?6320</v>
      </c>
      <c r="N213" s="171" t="str">
        <f>IF(Nomenclature!$K$5="F","GJ9106321",IF(Nomenclature!$K$5="N","GJ9176321","GJ91?6321"))</f>
        <v>GJ91?6321</v>
      </c>
      <c r="O213" s="45" t="s">
        <v>354</v>
      </c>
      <c r="P213" s="267" t="s">
        <v>919</v>
      </c>
    </row>
    <row r="214" spans="1:11" ht="15">
      <c r="A214" s="70"/>
      <c r="B214" s="70"/>
      <c r="C214" s="282"/>
      <c r="D214" s="15"/>
      <c r="E214" s="70"/>
      <c r="F214" s="70"/>
      <c r="G214" s="70"/>
      <c r="H214" s="70"/>
      <c r="I214" s="70"/>
      <c r="J214" s="70"/>
      <c r="K214" s="76"/>
    </row>
    <row r="215" spans="1:11" ht="15">
      <c r="A215" s="63" t="s">
        <v>936</v>
      </c>
      <c r="B215" s="69" t="s">
        <v>937</v>
      </c>
      <c r="C215" s="75"/>
      <c r="D215" s="70"/>
      <c r="E215" s="84" t="s">
        <v>938</v>
      </c>
      <c r="F215" s="84" t="s">
        <v>939</v>
      </c>
      <c r="G215" s="84" t="s">
        <v>939</v>
      </c>
      <c r="H215" s="70"/>
      <c r="I215" s="70"/>
      <c r="J215" s="70"/>
      <c r="K215" s="76"/>
    </row>
    <row r="216" spans="1:11" ht="15">
      <c r="A216" s="63"/>
      <c r="B216" s="127">
        <f>$B$146</f>
        <v>40450</v>
      </c>
      <c r="C216" s="75"/>
      <c r="D216" s="70"/>
      <c r="E216" s="84"/>
      <c r="F216" s="128">
        <v>35612</v>
      </c>
      <c r="G216" s="128">
        <v>35649</v>
      </c>
      <c r="H216" s="70"/>
      <c r="I216" s="70"/>
      <c r="J216" s="70"/>
      <c r="K216" s="76"/>
    </row>
    <row r="217" spans="1:11" ht="15">
      <c r="A217" s="63"/>
      <c r="B217" s="100" t="str">
        <f>CONCATENATE(Nomenclature!$C$5,Nomenclature!$D$5,Nomenclature!$E$5,Nomenclature!$F$5,Nomenclature!$G$5,Nomenclature!$H$5,Nomenclature!$I$5,Nomenclature!$N$5)</f>
        <v>K*******</v>
      </c>
      <c r="C217" s="75"/>
      <c r="D217" s="70"/>
      <c r="E217" s="129" t="s">
        <v>940</v>
      </c>
      <c r="F217" s="130">
        <v>3</v>
      </c>
      <c r="G217" s="130">
        <v>4</v>
      </c>
      <c r="H217" s="70"/>
      <c r="I217" s="70"/>
      <c r="J217" s="70"/>
      <c r="K217" s="76"/>
    </row>
    <row r="218" spans="1:11" ht="15">
      <c r="A218" s="72" t="s">
        <v>823</v>
      </c>
      <c r="B218" s="72"/>
      <c r="C218" s="38">
        <f>IF(LEFT($B$217,7)="KCGG122",1,0)</f>
        <v>0</v>
      </c>
      <c r="D218" s="36">
        <v>1</v>
      </c>
      <c r="E218" s="72" t="s">
        <v>941</v>
      </c>
      <c r="F218" s="45">
        <v>109220</v>
      </c>
      <c r="G218" s="45">
        <v>109020</v>
      </c>
      <c r="H218" s="70"/>
      <c r="I218" s="70"/>
      <c r="J218" s="70"/>
      <c r="K218" s="76"/>
    </row>
    <row r="219" spans="1:11" ht="15">
      <c r="A219" s="72" t="s">
        <v>942</v>
      </c>
      <c r="B219" s="72"/>
      <c r="C219" s="38">
        <f>IF(AND(LEFT($B$217,7)="KCGG142",Nomenclature!$J$5="02"),2,IF(AND(LEFT($B$217,7)="KCGG142",Nomenclature!$J$5="XY"),2,IF(LEFT($B$217,7)="KCGG141",2,0)))</f>
        <v>0</v>
      </c>
      <c r="D219" s="36">
        <v>2</v>
      </c>
      <c r="E219" s="171" t="str">
        <f>IF(OR(Nomenclature!$J$5="02",Nomenclature!$J$5="05",Nomenclature!$J$5="XY"),"GJ9120172","GJ9120153")</f>
        <v>GJ9120153</v>
      </c>
      <c r="F219" s="45" t="s">
        <v>943</v>
      </c>
      <c r="G219" s="45">
        <v>109020</v>
      </c>
      <c r="H219" s="70"/>
      <c r="I219" s="70"/>
      <c r="J219" s="70"/>
      <c r="K219" s="76"/>
    </row>
    <row r="220" spans="1:11" ht="15">
      <c r="A220" s="72" t="s">
        <v>944</v>
      </c>
      <c r="B220" s="72"/>
      <c r="C220" s="38">
        <f>IF(AND(LEFT($B$217,7)="KCGG142",Nomenclature!$J$5="02"),0,IF(LEFT($B$217,7)="KCGG142",3,0))</f>
        <v>0</v>
      </c>
      <c r="D220" s="36">
        <v>3</v>
      </c>
      <c r="E220" s="72" t="s">
        <v>945</v>
      </c>
      <c r="F220" s="45">
        <v>109220</v>
      </c>
      <c r="G220" s="45">
        <v>109020</v>
      </c>
      <c r="H220" s="70"/>
      <c r="I220" s="70"/>
      <c r="J220" s="70"/>
      <c r="K220" s="76"/>
    </row>
    <row r="221" spans="1:11" ht="15">
      <c r="A221" s="72" t="s">
        <v>846</v>
      </c>
      <c r="B221" s="72"/>
      <c r="C221" s="38">
        <f>IF(LEFT($B$217,7)="KCGG241",4,0)</f>
        <v>0</v>
      </c>
      <c r="D221" s="36">
        <v>4</v>
      </c>
      <c r="E221" s="72" t="s">
        <v>946</v>
      </c>
      <c r="F221" s="45" t="s">
        <v>943</v>
      </c>
      <c r="G221" s="45">
        <v>109020</v>
      </c>
      <c r="H221" s="70"/>
      <c r="I221" s="70"/>
      <c r="J221" s="70"/>
      <c r="K221" s="76"/>
    </row>
    <row r="222" spans="1:11" ht="15">
      <c r="A222" s="72" t="s">
        <v>851</v>
      </c>
      <c r="B222" s="72"/>
      <c r="C222" s="38">
        <f>IF(LEFT($B$217,7)="KCGG332",5,0)</f>
        <v>0</v>
      </c>
      <c r="D222" s="36">
        <v>5</v>
      </c>
      <c r="E222" s="72" t="s">
        <v>947</v>
      </c>
      <c r="F222" s="45" t="s">
        <v>943</v>
      </c>
      <c r="G222" s="45">
        <v>109020</v>
      </c>
      <c r="H222" s="70"/>
      <c r="I222" s="70"/>
      <c r="J222" s="70"/>
      <c r="K222" s="76"/>
    </row>
    <row r="223" spans="1:11" ht="15">
      <c r="A223" s="72" t="s">
        <v>856</v>
      </c>
      <c r="B223" s="72"/>
      <c r="C223" s="38">
        <f>IF(LEFT($B$217,7)="KCGG341",6,0)</f>
        <v>0</v>
      </c>
      <c r="D223" s="36">
        <v>6</v>
      </c>
      <c r="E223" s="72" t="s">
        <v>948</v>
      </c>
      <c r="F223" s="45" t="s">
        <v>943</v>
      </c>
      <c r="G223" s="45">
        <v>109020</v>
      </c>
      <c r="H223" s="70"/>
      <c r="I223" s="70"/>
      <c r="J223" s="70"/>
      <c r="K223" s="76"/>
    </row>
    <row r="224" spans="1:11" ht="15">
      <c r="A224" s="72" t="s">
        <v>859</v>
      </c>
      <c r="B224" s="72"/>
      <c r="C224" s="38">
        <f>IF(AND(LEFT($B$217,7)="KCEG112",C225=0),7,0)</f>
        <v>0</v>
      </c>
      <c r="D224" s="36">
        <v>7</v>
      </c>
      <c r="E224" s="72" t="s">
        <v>949</v>
      </c>
      <c r="F224" s="45">
        <v>109424</v>
      </c>
      <c r="G224" s="45">
        <v>109720</v>
      </c>
      <c r="H224" s="70"/>
      <c r="I224" s="70"/>
      <c r="J224" s="70"/>
      <c r="K224" s="76"/>
    </row>
    <row r="225" spans="1:11" ht="15">
      <c r="A225" s="72" t="s">
        <v>864</v>
      </c>
      <c r="B225" s="72"/>
      <c r="C225" s="38">
        <f>IF($B$217="KCEG112L",8,IF($B$217="KCEG112M",8,IF($B$217="KCEG112P",8,0)))</f>
        <v>0</v>
      </c>
      <c r="D225" s="36">
        <v>8</v>
      </c>
      <c r="E225" s="72" t="s">
        <v>949</v>
      </c>
      <c r="F225" s="45">
        <v>109424</v>
      </c>
      <c r="G225" s="45">
        <v>109720</v>
      </c>
      <c r="H225" s="70"/>
      <c r="I225" s="70"/>
      <c r="J225" s="70"/>
      <c r="K225" s="76"/>
    </row>
    <row r="226" spans="1:11" ht="15">
      <c r="A226" s="72" t="s">
        <v>865</v>
      </c>
      <c r="B226" s="72"/>
      <c r="C226" s="38">
        <f>IF(LEFT($B$217,7)="KCEG142",9,0)</f>
        <v>0</v>
      </c>
      <c r="D226" s="36">
        <v>9</v>
      </c>
      <c r="E226" s="72" t="s">
        <v>950</v>
      </c>
      <c r="F226" s="45">
        <v>109424</v>
      </c>
      <c r="G226" s="45">
        <v>109720</v>
      </c>
      <c r="H226" s="70"/>
      <c r="I226" s="70"/>
      <c r="J226" s="70"/>
      <c r="K226" s="76"/>
    </row>
    <row r="227" spans="1:11" ht="15">
      <c r="A227" s="72" t="s">
        <v>951</v>
      </c>
      <c r="B227" s="72"/>
      <c r="C227" s="38">
        <f>IF(LEFT($B$217,7)="KCEG143",10,0)</f>
        <v>0</v>
      </c>
      <c r="D227" s="36">
        <v>10</v>
      </c>
      <c r="E227" s="72" t="s">
        <v>952</v>
      </c>
      <c r="F227" s="45">
        <v>109424</v>
      </c>
      <c r="G227" s="45">
        <v>109720</v>
      </c>
      <c r="H227" s="70"/>
      <c r="I227" s="70"/>
      <c r="J227" s="70"/>
      <c r="K227" s="76"/>
    </row>
    <row r="228" spans="1:11" ht="15">
      <c r="A228" s="72" t="s">
        <v>870</v>
      </c>
      <c r="B228" s="72"/>
      <c r="C228" s="38">
        <f>IF(AND(LEFT($B$217,7)="KCEG152",C229=0),11,0)</f>
        <v>0</v>
      </c>
      <c r="D228" s="36">
        <v>11</v>
      </c>
      <c r="E228" s="72" t="s">
        <v>953</v>
      </c>
      <c r="F228" s="45">
        <v>109424</v>
      </c>
      <c r="G228" s="45">
        <v>109720</v>
      </c>
      <c r="H228" s="70"/>
      <c r="I228" s="70"/>
      <c r="J228" s="70"/>
      <c r="K228" s="76"/>
    </row>
    <row r="229" spans="1:11" ht="15">
      <c r="A229" s="72" t="s">
        <v>875</v>
      </c>
      <c r="B229" s="72"/>
      <c r="C229" s="38">
        <f>IF($B$217="KCEG152L",12,IF($B$217="KCEG152M",12,IF($B$217="KCEG152P",12,0)))</f>
        <v>0</v>
      </c>
      <c r="D229" s="36">
        <v>12</v>
      </c>
      <c r="E229" s="72" t="s">
        <v>953</v>
      </c>
      <c r="F229" s="45">
        <v>109424</v>
      </c>
      <c r="G229" s="45">
        <v>109720</v>
      </c>
      <c r="H229" s="70"/>
      <c r="I229" s="70"/>
      <c r="J229" s="70"/>
      <c r="K229" s="76"/>
    </row>
    <row r="230" spans="1:11" ht="15">
      <c r="A230" s="72" t="s">
        <v>954</v>
      </c>
      <c r="B230" s="72"/>
      <c r="C230" s="38">
        <f>IF(LEFT($B$217,7)="KCEG241",13,0)</f>
        <v>0</v>
      </c>
      <c r="D230" s="36">
        <v>13</v>
      </c>
      <c r="E230" s="72" t="s">
        <v>955</v>
      </c>
      <c r="F230" s="45">
        <v>109424</v>
      </c>
      <c r="G230" s="45">
        <v>109724</v>
      </c>
      <c r="H230" s="70"/>
      <c r="I230" s="70"/>
      <c r="J230" s="70"/>
      <c r="K230" s="76"/>
    </row>
    <row r="231" spans="1:11" ht="15">
      <c r="A231" s="72" t="s">
        <v>876</v>
      </c>
      <c r="B231" s="72"/>
      <c r="C231" s="38">
        <f>IF(LEFT($B$217,7)="KCEG242",14,0)</f>
        <v>0</v>
      </c>
      <c r="D231" s="36">
        <v>14</v>
      </c>
      <c r="E231" s="72" t="s">
        <v>956</v>
      </c>
      <c r="F231" s="45">
        <v>109424</v>
      </c>
      <c r="G231" s="45">
        <v>109724</v>
      </c>
      <c r="H231" s="70"/>
      <c r="I231" s="70"/>
      <c r="J231" s="70"/>
      <c r="K231" s="76"/>
    </row>
    <row r="232" spans="1:11" ht="15">
      <c r="A232" s="72" t="s">
        <v>882</v>
      </c>
      <c r="B232" s="72"/>
      <c r="C232" s="38">
        <f>IF(LEFT($B$217,7)="KCEU142",15,0)</f>
        <v>0</v>
      </c>
      <c r="D232" s="36">
        <v>15</v>
      </c>
      <c r="E232" s="72" t="s">
        <v>957</v>
      </c>
      <c r="F232" s="45" t="s">
        <v>943</v>
      </c>
      <c r="G232" s="45">
        <v>109520</v>
      </c>
      <c r="H232" s="70"/>
      <c r="I232" s="70"/>
      <c r="J232" s="70"/>
      <c r="K232" s="76"/>
    </row>
    <row r="233" spans="1:11" s="141" customFormat="1" ht="15">
      <c r="A233" s="72" t="s">
        <v>888</v>
      </c>
      <c r="B233" s="72"/>
      <c r="C233" s="38">
        <f>IF(LEFT($B$217,7)="KCEU242",16,0)</f>
        <v>0</v>
      </c>
      <c r="D233" s="36">
        <v>16</v>
      </c>
      <c r="E233" s="72" t="s">
        <v>958</v>
      </c>
      <c r="F233" s="45" t="s">
        <v>943</v>
      </c>
      <c r="G233" s="45">
        <v>109524</v>
      </c>
      <c r="H233" s="70"/>
      <c r="I233" s="70"/>
      <c r="J233" s="70"/>
      <c r="K233" s="76"/>
    </row>
    <row r="234" spans="1:11" s="141" customFormat="1" ht="15">
      <c r="A234" s="72" t="s">
        <v>893</v>
      </c>
      <c r="B234" s="105"/>
      <c r="C234" s="38">
        <f>IF(LEFT($B$217,7)="KVFG122",17,0)</f>
        <v>0</v>
      </c>
      <c r="D234" s="36">
        <v>17</v>
      </c>
      <c r="E234" s="72" t="s">
        <v>959</v>
      </c>
      <c r="F234" s="45">
        <v>109431</v>
      </c>
      <c r="G234" s="45">
        <v>109431</v>
      </c>
      <c r="H234" s="142"/>
      <c r="I234" s="142"/>
      <c r="J234" s="142"/>
      <c r="K234" s="143"/>
    </row>
    <row r="235" spans="1:11" s="141" customFormat="1" ht="15">
      <c r="A235" s="72" t="s">
        <v>900</v>
      </c>
      <c r="B235" s="105"/>
      <c r="C235" s="38">
        <f>IF(LEFT($B$217,7)="KVFG142",18,0)</f>
        <v>0</v>
      </c>
      <c r="D235" s="36">
        <v>18</v>
      </c>
      <c r="E235" s="72" t="s">
        <v>960</v>
      </c>
      <c r="F235" s="45">
        <v>109431</v>
      </c>
      <c r="G235" s="45">
        <v>109431</v>
      </c>
      <c r="H235" s="142"/>
      <c r="I235" s="142"/>
      <c r="J235" s="142"/>
      <c r="K235" s="143"/>
    </row>
    <row r="236" spans="1:11" ht="15">
      <c r="A236" s="72" t="s">
        <v>906</v>
      </c>
      <c r="B236" s="105"/>
      <c r="C236" s="38">
        <f>IF(LEFT($B$217,7)="KVGC102",19,0)</f>
        <v>0</v>
      </c>
      <c r="D236" s="36">
        <v>19</v>
      </c>
      <c r="E236" s="72" t="s">
        <v>961</v>
      </c>
      <c r="F236" s="45" t="s">
        <v>943</v>
      </c>
      <c r="G236" s="45">
        <v>109271</v>
      </c>
      <c r="H236" s="142"/>
      <c r="I236" s="142"/>
      <c r="J236" s="142"/>
      <c r="K236" s="143"/>
    </row>
    <row r="237" spans="1:11" ht="15">
      <c r="A237" s="72" t="s">
        <v>239</v>
      </c>
      <c r="B237" s="105"/>
      <c r="C237" s="38">
        <f>IF(LEFT($B$217,7)="KVGC202",20,0)</f>
        <v>0</v>
      </c>
      <c r="D237" s="36">
        <v>20</v>
      </c>
      <c r="E237" s="72" t="s">
        <v>961</v>
      </c>
      <c r="F237" s="45" t="s">
        <v>943</v>
      </c>
      <c r="G237" s="45">
        <v>109271</v>
      </c>
      <c r="H237" s="142"/>
      <c r="I237" s="142"/>
      <c r="J237" s="142"/>
      <c r="K237" s="143"/>
    </row>
    <row r="238" spans="1:11" ht="15">
      <c r="A238" s="72"/>
      <c r="B238" s="72"/>
      <c r="C238" s="73">
        <f>SUM($C$218:$C$237)</f>
        <v>0</v>
      </c>
      <c r="D238" s="70"/>
      <c r="E238" s="70"/>
      <c r="F238" s="70"/>
      <c r="G238" s="70"/>
      <c r="H238" s="70"/>
      <c r="I238" s="70"/>
      <c r="J238" s="70"/>
      <c r="K238" s="76"/>
    </row>
    <row r="239" spans="1:11" ht="15">
      <c r="A239" s="63" t="s">
        <v>551</v>
      </c>
      <c r="B239" s="69" t="s">
        <v>624</v>
      </c>
      <c r="C239" s="75"/>
      <c r="D239" s="70"/>
      <c r="E239" s="84" t="s">
        <v>938</v>
      </c>
      <c r="F239" s="70"/>
      <c r="G239" s="70"/>
      <c r="H239" s="70"/>
      <c r="I239" s="70"/>
      <c r="J239" s="70"/>
      <c r="K239" s="76"/>
    </row>
    <row r="240" spans="1:11" ht="15">
      <c r="A240" s="72" t="s">
        <v>823</v>
      </c>
      <c r="B240" s="100" t="str">
        <f>CONCATENATE(Nomenclature!$C$5,Nomenclature!$D$5,Nomenclature!$E$5,Nomenclature!$F$5,Nomenclature!$G$5,Nomenclature!$H$5,Nomenclature!$I$5)</f>
        <v>K******</v>
      </c>
      <c r="C240" s="38">
        <f>IF(LEFT($B$217,7)="KCGG122",1,0)</f>
        <v>0</v>
      </c>
      <c r="D240" s="36">
        <v>1</v>
      </c>
      <c r="E240" s="171" t="str">
        <f>IF(OR(Nomenclature!$K$5="D",Nomenclature!$K$5="F",Nomenclature!$K$5="H"),"GJ9138115",IF(OR(Nomenclature!$K$5="L",Nomenclature!$K$5="N",Nomenclature!$K$5="P"),"GJ9179115","GJ91??115"))</f>
        <v>GJ91??115</v>
      </c>
      <c r="F240" s="70"/>
      <c r="G240" s="70"/>
      <c r="H240" s="70"/>
      <c r="I240" s="70"/>
      <c r="J240" s="70"/>
      <c r="K240" s="76"/>
    </row>
    <row r="241" spans="1:11" ht="15">
      <c r="A241" s="72" t="s">
        <v>830</v>
      </c>
      <c r="B241" s="72"/>
      <c r="C241" s="38">
        <f>IF(LEFT($B$217,7)="KCGG141",2,0)</f>
        <v>0</v>
      </c>
      <c r="D241" s="36">
        <v>2</v>
      </c>
      <c r="E241" s="171" t="str">
        <f>IF(OR(Nomenclature!$K$5="D",Nomenclature!$K$5="F",Nomenclature!$K$5="H"),"GJ9138115",IF(OR(Nomenclature!$K$5="L",Nomenclature!$K$5="N",Nomenclature!$K$5="P"),"GJ9179115","GJ91??115"))</f>
        <v>GJ91??115</v>
      </c>
      <c r="F241" s="70"/>
      <c r="G241" s="70"/>
      <c r="H241" s="70"/>
      <c r="I241" s="70"/>
      <c r="J241" s="70"/>
      <c r="K241" s="76"/>
    </row>
    <row r="242" spans="1:11" ht="15">
      <c r="A242" s="72" t="s">
        <v>944</v>
      </c>
      <c r="B242" s="72"/>
      <c r="C242" s="38">
        <f>IF(LEFT($B$217,7)="KCGG142",3,0)</f>
        <v>0</v>
      </c>
      <c r="D242" s="36">
        <v>3</v>
      </c>
      <c r="E242" s="171" t="str">
        <f>IF(OR(Nomenclature!$K$5="D",Nomenclature!$K$5="F",Nomenclature!$K$5="H"),"GJ9138115",IF(OR(Nomenclature!$K$5="L",Nomenclature!$K$5="N",Nomenclature!$K$5="P"),"GJ9179115","GJ91??115"))</f>
        <v>GJ91??115</v>
      </c>
      <c r="F242" s="70"/>
      <c r="G242" s="70"/>
      <c r="H242" s="70"/>
      <c r="I242" s="70"/>
      <c r="J242" s="70"/>
      <c r="K242" s="76"/>
    </row>
    <row r="243" spans="1:11" ht="15">
      <c r="A243" s="72" t="s">
        <v>846</v>
      </c>
      <c r="B243" s="72"/>
      <c r="C243" s="38">
        <f>IF(LEFT($B$217,7)="KCGG241",4,0)</f>
        <v>0</v>
      </c>
      <c r="D243" s="36">
        <v>4</v>
      </c>
      <c r="E243" s="171" t="str">
        <f>IF(OR(Nomenclature!$K$5="D",Nomenclature!$K$5="F",Nomenclature!$K$5="H"),"GJ9138115",IF(OR(Nomenclature!$K$5="L",Nomenclature!$K$5="N",Nomenclature!$K$5="P"),"GJ9179115","GJ91??115"))</f>
        <v>GJ91??115</v>
      </c>
      <c r="F243" s="70"/>
      <c r="G243" s="70"/>
      <c r="H243" s="70"/>
      <c r="I243" s="70"/>
      <c r="J243" s="70"/>
      <c r="K243" s="76"/>
    </row>
    <row r="244" spans="1:11" ht="15">
      <c r="A244" s="72" t="s">
        <v>851</v>
      </c>
      <c r="B244" s="72"/>
      <c r="C244" s="38">
        <f>IF(LEFT($B$217,7)="KCGG332",5,0)</f>
        <v>0</v>
      </c>
      <c r="D244" s="36">
        <v>5</v>
      </c>
      <c r="E244" s="171" t="str">
        <f>IF(OR(Nomenclature!$K$5="D",Nomenclature!$K$5="F",Nomenclature!$K$5="H"),"GJ9138115",IF(OR(Nomenclature!$K$5="L",Nomenclature!$K$5="N",Nomenclature!$K$5="P"),"GJ9179115","GJ91??115"))</f>
        <v>GJ91??115</v>
      </c>
      <c r="F244" s="70"/>
      <c r="G244" s="70"/>
      <c r="H244" s="70"/>
      <c r="I244" s="70"/>
      <c r="J244" s="70"/>
      <c r="K244" s="76"/>
    </row>
    <row r="245" spans="1:11" ht="15">
      <c r="A245" s="72" t="s">
        <v>856</v>
      </c>
      <c r="B245" s="72"/>
      <c r="C245" s="38">
        <f>IF(LEFT($B$217,7)="KCGG341",6,0)</f>
        <v>0</v>
      </c>
      <c r="D245" s="36">
        <v>6</v>
      </c>
      <c r="E245" s="171" t="str">
        <f>IF(OR(Nomenclature!$K$5="D",Nomenclature!$K$5="F",Nomenclature!$K$5="H"),"GJ9138115",IF(OR(Nomenclature!$K$5="L",Nomenclature!$K$5="N",Nomenclature!$K$5="P"),"GJ9179115","GJ91??115"))</f>
        <v>GJ91??115</v>
      </c>
      <c r="F245" s="70"/>
      <c r="G245" s="70"/>
      <c r="H245" s="70"/>
      <c r="I245" s="70"/>
      <c r="J245" s="70"/>
      <c r="K245" s="76"/>
    </row>
    <row r="246" spans="1:11" ht="15">
      <c r="A246" s="72" t="s">
        <v>859</v>
      </c>
      <c r="B246" s="72"/>
      <c r="C246" s="38">
        <f>IF(AND(LEFT($B$217,7)="KCEG112",C225=0),7,0)</f>
        <v>0</v>
      </c>
      <c r="D246" s="36">
        <v>7</v>
      </c>
      <c r="E246" s="171" t="str">
        <f>IF(OR(Nomenclature!$K$5="D",Nomenclature!$K$5="F",Nomenclature!$K$5="H"),"GJ9138115",IF(OR(Nomenclature!$K$5="L",Nomenclature!$K$5="N",Nomenclature!$K$5="P"),"GJ9179115","GJ91??115"))</f>
        <v>GJ91??115</v>
      </c>
      <c r="F246" s="70"/>
      <c r="G246" s="70"/>
      <c r="H246" s="70"/>
      <c r="I246" s="70"/>
      <c r="J246" s="70"/>
      <c r="K246" s="76"/>
    </row>
    <row r="247" spans="1:11" ht="15">
      <c r="A247" s="72" t="s">
        <v>864</v>
      </c>
      <c r="B247" s="72"/>
      <c r="C247" s="38">
        <f>IF($B$217="KCEG112L",8,IF($B$217="KCEG112M",8,IF($B$217="KCEG112P",8,0)))</f>
        <v>0</v>
      </c>
      <c r="D247" s="36">
        <v>8</v>
      </c>
      <c r="E247" s="171" t="str">
        <f>IF(OR(Nomenclature!$K$5="D",Nomenclature!$K$5="F",Nomenclature!$K$5="H"),"GJ9138115",IF(OR(Nomenclature!$K$5="L",Nomenclature!$K$5="N",Nomenclature!$K$5="P"),"GJ9179115","GJ91??115"))</f>
        <v>GJ91??115</v>
      </c>
      <c r="F247" s="70"/>
      <c r="G247" s="70"/>
      <c r="H247" s="70"/>
      <c r="I247" s="70"/>
      <c r="J247" s="70"/>
      <c r="K247" s="76"/>
    </row>
    <row r="248" spans="1:11" ht="15">
      <c r="A248" s="72" t="s">
        <v>865</v>
      </c>
      <c r="B248" s="72"/>
      <c r="C248" s="38">
        <f>IF(LEFT($B$217,7)="KCEG142",9,0)</f>
        <v>0</v>
      </c>
      <c r="D248" s="36">
        <v>9</v>
      </c>
      <c r="E248" s="171" t="str">
        <f>IF(OR(Nomenclature!$K$5="D",Nomenclature!$K$5="F",Nomenclature!$K$5="H"),"GJ9138117",IF(OR(Nomenclature!$K$5="L",Nomenclature!$K$5="N",Nomenclature!$K$5="P"),"GJ9179117","GJ91??117"))</f>
        <v>GJ91??117</v>
      </c>
      <c r="F248" s="70"/>
      <c r="G248" s="70"/>
      <c r="H248" s="70"/>
      <c r="I248" s="70"/>
      <c r="J248" s="70"/>
      <c r="K248" s="76"/>
    </row>
    <row r="249" spans="1:11" ht="15">
      <c r="A249" s="72" t="s">
        <v>951</v>
      </c>
      <c r="B249" s="72"/>
      <c r="C249" s="38">
        <f>IF(LEFT($B$217,7)="KCEG143",10,0)</f>
        <v>0</v>
      </c>
      <c r="D249" s="36">
        <v>10</v>
      </c>
      <c r="E249" s="171" t="s">
        <v>145</v>
      </c>
      <c r="F249" s="70"/>
      <c r="G249" s="70"/>
      <c r="H249" s="70"/>
      <c r="I249" s="70"/>
      <c r="J249" s="70"/>
      <c r="K249" s="76"/>
    </row>
    <row r="250" spans="1:11" ht="15">
      <c r="A250" s="72" t="s">
        <v>870</v>
      </c>
      <c r="B250" s="72"/>
      <c r="C250" s="38">
        <f>IF(AND(LEFT($B$217,7)="KCEG152",C229=0),11,0)</f>
        <v>0</v>
      </c>
      <c r="D250" s="36">
        <v>11</v>
      </c>
      <c r="E250" s="171" t="str">
        <f>IF(OR(Nomenclature!$K$5="D",Nomenclature!$K$5="F",Nomenclature!$K$5="H"),"GJ9138117",IF(OR(Nomenclature!$K$5="L",Nomenclature!$K$5="N",Nomenclature!$K$5="P"),"GJ9179117","GJ91??117"))</f>
        <v>GJ91??117</v>
      </c>
      <c r="F250" s="70"/>
      <c r="G250" s="70"/>
      <c r="H250" s="70"/>
      <c r="I250" s="70"/>
      <c r="J250" s="70"/>
      <c r="K250" s="76"/>
    </row>
    <row r="251" spans="1:11" ht="15">
      <c r="A251" s="72" t="s">
        <v>875</v>
      </c>
      <c r="B251" s="72"/>
      <c r="C251" s="38">
        <f>IF($B$217="KCEG152L",12,IF($B$217="KCEG152M",12,IF($B$217="KCEG152P",12,0)))</f>
        <v>0</v>
      </c>
      <c r="D251" s="36">
        <v>12</v>
      </c>
      <c r="E251" s="171" t="str">
        <f>IF(OR(Nomenclature!$K$5="D",Nomenclature!$K$5="F",Nomenclature!$K$5="H"),"GJ9138117",IF(OR(Nomenclature!$K$5="L",Nomenclature!$K$5="N",Nomenclature!$K$5="P"),"GJ9179117","GJ91??117"))</f>
        <v>GJ91??117</v>
      </c>
      <c r="F251" s="70"/>
      <c r="G251" s="70"/>
      <c r="H251" s="70"/>
      <c r="I251" s="70"/>
      <c r="J251" s="70"/>
      <c r="K251" s="76"/>
    </row>
    <row r="252" spans="1:11" ht="15">
      <c r="A252" s="72" t="s">
        <v>954</v>
      </c>
      <c r="B252" s="72"/>
      <c r="C252" s="38">
        <f>IF(LEFT($B$217,7)="KCEG241",13,0)</f>
        <v>0</v>
      </c>
      <c r="D252" s="36">
        <v>13</v>
      </c>
      <c r="E252" s="171" t="str">
        <f>IF(OR(Nomenclature!$K$5="D",Nomenclature!$K$5="F",Nomenclature!$K$5="H"),"GJ9138117",IF(OR(Nomenclature!$K$5="L",Nomenclature!$K$5="N",Nomenclature!$K$5="P"),"GJ9179117","GJ91??117"))</f>
        <v>GJ91??117</v>
      </c>
      <c r="F252" s="70"/>
      <c r="G252" s="70"/>
      <c r="H252" s="70"/>
      <c r="I252" s="70"/>
      <c r="J252" s="70"/>
      <c r="K252" s="76"/>
    </row>
    <row r="253" spans="1:11" ht="15">
      <c r="A253" s="72" t="s">
        <v>876</v>
      </c>
      <c r="B253" s="72"/>
      <c r="C253" s="38">
        <f>IF(LEFT($B$217,7)="KCEG242",14,0)</f>
        <v>0</v>
      </c>
      <c r="D253" s="36">
        <v>14</v>
      </c>
      <c r="E253" s="171" t="str">
        <f>IF(OR(Nomenclature!$K$5="D",Nomenclature!$K$5="F",Nomenclature!$K$5="H"),"GJ9138119",IF(OR(Nomenclature!$K$5="L",Nomenclature!$K$5="N",Nomenclature!$K$5="P"),"GJ9179119","GJ91??119"))</f>
        <v>GJ91??119</v>
      </c>
      <c r="F253" s="70"/>
      <c r="G253" s="70"/>
      <c r="H253" s="70"/>
      <c r="I253" s="70"/>
      <c r="J253" s="70"/>
      <c r="K253" s="76"/>
    </row>
    <row r="254" spans="1:11" ht="15">
      <c r="A254" s="72" t="s">
        <v>882</v>
      </c>
      <c r="B254" s="72"/>
      <c r="C254" s="38">
        <f>IF(LEFT($B$217,7)="KCEU142",15,0)</f>
        <v>0</v>
      </c>
      <c r="D254" s="36">
        <v>15</v>
      </c>
      <c r="E254" s="171" t="str">
        <f>IF(OR(Nomenclature!$K$5="D",Nomenclature!$K$5="F",Nomenclature!$K$5="H"),"GJ9138117",IF(OR(Nomenclature!$K$5="L",Nomenclature!$K$5="N",Nomenclature!$K$5="P"),"GJ9179117","GJ91??117"))</f>
        <v>GJ91??117</v>
      </c>
      <c r="F254" s="70"/>
      <c r="G254" s="70"/>
      <c r="H254" s="70"/>
      <c r="I254" s="70"/>
      <c r="J254" s="70"/>
      <c r="K254" s="76"/>
    </row>
    <row r="255" spans="1:11" ht="15">
      <c r="A255" s="72" t="s">
        <v>888</v>
      </c>
      <c r="B255" s="72"/>
      <c r="C255" s="38">
        <f>IF(LEFT($B$217,7)="KCEU242",16,0)</f>
        <v>0</v>
      </c>
      <c r="D255" s="36">
        <v>16</v>
      </c>
      <c r="E255" s="171" t="str">
        <f>IF(OR(Nomenclature!$K$5="D",Nomenclature!$K$5="F",Nomenclature!$K$5="H"),"GJ9138132",IF(OR(Nomenclature!$K$5="L",Nomenclature!$K$5="N",Nomenclature!$K$5="P"),"GJ9179132","GJ91??132"))</f>
        <v>GJ91??132</v>
      </c>
      <c r="F255" s="70"/>
      <c r="G255" s="70"/>
      <c r="H255" s="70"/>
      <c r="I255" s="70"/>
      <c r="J255" s="70"/>
      <c r="K255" s="76"/>
    </row>
    <row r="256" spans="1:11" ht="15">
      <c r="A256" s="72" t="s">
        <v>893</v>
      </c>
      <c r="B256" s="105"/>
      <c r="C256" s="38">
        <f>IF(LEFT($B$217,7)="KVFG122",17,0)</f>
        <v>0</v>
      </c>
      <c r="D256" s="36">
        <v>17</v>
      </c>
      <c r="E256" s="171" t="str">
        <f>IF(OR(Nomenclature!$K$5="D",Nomenclature!$K$5="F",Nomenclature!$K$5="H"),"GJ9138115",IF(OR(Nomenclature!$K$5="L",Nomenclature!$K$5="N",Nomenclature!$K$5="P"),"GJ9179115","GJ91??115"))</f>
        <v>GJ91??115</v>
      </c>
      <c r="F256" s="70"/>
      <c r="G256" s="70"/>
      <c r="H256" s="70"/>
      <c r="I256" s="70"/>
      <c r="J256" s="70"/>
      <c r="K256" s="76"/>
    </row>
    <row r="257" spans="1:11" s="141" customFormat="1" ht="15">
      <c r="A257" s="72" t="s">
        <v>900</v>
      </c>
      <c r="B257" s="105"/>
      <c r="C257" s="38">
        <f>IF(LEFT($B$217,7)="KVFG142",18,0)</f>
        <v>0</v>
      </c>
      <c r="D257" s="36">
        <v>18</v>
      </c>
      <c r="E257" s="171" t="str">
        <f>IF(OR(Nomenclature!$K$5="D",Nomenclature!$K$5="F",Nomenclature!$K$5="H"),"GJ9138115",IF(OR(Nomenclature!$K$5="L",Nomenclature!$K$5="N",Nomenclature!$K$5="P"),"GJ9179115","GJ91??115"))</f>
        <v>GJ91??115</v>
      </c>
      <c r="F257" s="70"/>
      <c r="G257" s="70"/>
      <c r="H257" s="70"/>
      <c r="I257" s="70"/>
      <c r="J257" s="70"/>
      <c r="K257" s="76"/>
    </row>
    <row r="258" spans="1:11" ht="15">
      <c r="A258" s="72" t="s">
        <v>906</v>
      </c>
      <c r="B258" s="105"/>
      <c r="C258" s="38">
        <f>IF(LEFT($B$217,7)="KVGC102",19,0)</f>
        <v>0</v>
      </c>
      <c r="D258" s="36">
        <v>19</v>
      </c>
      <c r="E258" s="171" t="str">
        <f>IF(OR(Nomenclature!$K$5="D",Nomenclature!$K$5="F",Nomenclature!$K$5="H"),"GJ9138117",IF(OR(Nomenclature!$K$5="L",Nomenclature!$K$5="N",Nomenclature!$K$5="P"),"GJ9179117","GJ91??117"))</f>
        <v>GJ91??117</v>
      </c>
      <c r="F258" s="142"/>
      <c r="G258" s="142"/>
      <c r="H258" s="142"/>
      <c r="I258" s="142"/>
      <c r="J258" s="142"/>
      <c r="K258" s="143"/>
    </row>
    <row r="259" spans="1:11" ht="15">
      <c r="A259" s="72" t="s">
        <v>239</v>
      </c>
      <c r="B259" s="105"/>
      <c r="C259" s="38">
        <f>IF(LEFT($B$217,7)="KVGC202",20,0)</f>
        <v>0</v>
      </c>
      <c r="D259" s="36">
        <v>20</v>
      </c>
      <c r="E259" s="171" t="str">
        <f>IF(OR(Nomenclature!$K$5="D",Nomenclature!$K$5="F",Nomenclature!$K$5="H"),"GJ9138117",IF(OR(Nomenclature!$K$5="L",Nomenclature!$K$5="N",Nomenclature!$K$5="P"),"GJ9179117","GJ91??117"))</f>
        <v>GJ91??117</v>
      </c>
      <c r="F259" s="142"/>
      <c r="G259" s="142"/>
      <c r="H259" s="142"/>
      <c r="I259" s="142"/>
      <c r="J259" s="142"/>
      <c r="K259" s="143"/>
    </row>
    <row r="260" spans="1:11" ht="15">
      <c r="A260" s="13"/>
      <c r="B260" s="13"/>
      <c r="C260" s="73">
        <f>SUM(C240:C259)</f>
        <v>0</v>
      </c>
      <c r="D260" s="70"/>
      <c r="E260" s="70"/>
      <c r="F260" s="70"/>
      <c r="G260" s="70"/>
      <c r="H260" s="70"/>
      <c r="I260" s="70"/>
      <c r="J260" s="70"/>
      <c r="K260" s="76"/>
    </row>
    <row r="261" spans="1:11" ht="15">
      <c r="A261" s="70"/>
      <c r="B261" s="70"/>
      <c r="C261" s="17"/>
      <c r="D261" s="70"/>
      <c r="E261" s="186"/>
      <c r="F261" s="186"/>
      <c r="G261" s="186"/>
      <c r="H261" s="70"/>
      <c r="I261" s="70"/>
      <c r="J261" s="70"/>
      <c r="K261" s="76"/>
    </row>
    <row r="262" spans="1:11" ht="15">
      <c r="A262" s="63" t="s">
        <v>962</v>
      </c>
      <c r="B262" s="69" t="s">
        <v>624</v>
      </c>
      <c r="C262" s="137" t="str">
        <f>CONCATENATE(Nomenclature!C5,Nomenclature!D5,Nomenclature!E5,Nomenclature!F5,Nomenclature!G5,Nomenclature!H5,Nomenclature!I5)</f>
        <v>K******</v>
      </c>
      <c r="D262" s="70"/>
      <c r="E262" s="69" t="s">
        <v>963</v>
      </c>
      <c r="F262" s="69" t="s">
        <v>964</v>
      </c>
      <c r="G262" s="186"/>
      <c r="H262" s="70"/>
      <c r="I262" s="70"/>
      <c r="J262" s="70"/>
      <c r="K262" s="76"/>
    </row>
    <row r="263" spans="1:11" ht="15">
      <c r="A263" s="72"/>
      <c r="B263" s="63"/>
      <c r="C263" s="66"/>
      <c r="D263" s="36" t="s">
        <v>865</v>
      </c>
      <c r="E263" s="72" t="s">
        <v>965</v>
      </c>
      <c r="F263" s="45" t="s">
        <v>352</v>
      </c>
      <c r="G263" s="15"/>
      <c r="H263" s="70"/>
      <c r="I263" s="70"/>
      <c r="J263" s="70"/>
      <c r="K263" s="76"/>
    </row>
    <row r="264" spans="1:11" ht="15">
      <c r="A264" s="72"/>
      <c r="B264" s="63"/>
      <c r="C264" s="66"/>
      <c r="D264" s="36" t="s">
        <v>870</v>
      </c>
      <c r="E264" s="72" t="s">
        <v>965</v>
      </c>
      <c r="F264" s="45" t="s">
        <v>352</v>
      </c>
      <c r="G264" s="15"/>
      <c r="H264" s="70"/>
      <c r="I264" s="70"/>
      <c r="J264" s="70"/>
      <c r="K264" s="76"/>
    </row>
    <row r="265" spans="1:11" ht="15">
      <c r="A265" s="72"/>
      <c r="B265" s="72"/>
      <c r="C265" s="66"/>
      <c r="D265" s="36" t="s">
        <v>876</v>
      </c>
      <c r="E265" s="72" t="s">
        <v>965</v>
      </c>
      <c r="F265" s="45" t="s">
        <v>352</v>
      </c>
      <c r="G265" s="15"/>
      <c r="H265" s="70"/>
      <c r="I265" s="70"/>
      <c r="J265" s="70"/>
      <c r="K265" s="76"/>
    </row>
    <row r="266" spans="1:11" ht="15">
      <c r="A266" s="72"/>
      <c r="B266" s="72"/>
      <c r="C266" s="66"/>
      <c r="D266" s="36" t="s">
        <v>882</v>
      </c>
      <c r="E266" s="72" t="s">
        <v>966</v>
      </c>
      <c r="F266" s="45" t="s">
        <v>352</v>
      </c>
      <c r="G266" s="15"/>
      <c r="H266" s="70"/>
      <c r="I266" s="70"/>
      <c r="J266" s="70"/>
      <c r="K266" s="76"/>
    </row>
    <row r="267" spans="1:11" ht="15">
      <c r="A267" s="72"/>
      <c r="B267" s="72"/>
      <c r="C267" s="66"/>
      <c r="D267" s="36" t="s">
        <v>888</v>
      </c>
      <c r="E267" s="72" t="s">
        <v>966</v>
      </c>
      <c r="F267" s="45" t="s">
        <v>352</v>
      </c>
      <c r="G267" s="15"/>
      <c r="H267" s="70"/>
      <c r="I267" s="70"/>
      <c r="J267" s="70"/>
      <c r="K267" s="76"/>
    </row>
    <row r="268" spans="1:11" ht="15">
      <c r="A268" s="72"/>
      <c r="B268" s="72"/>
      <c r="C268" s="66"/>
      <c r="D268" s="36" t="s">
        <v>944</v>
      </c>
      <c r="E268" s="171" t="str">
        <f>IF(Nomenclature!$J$5="02","","ZJ0385001")</f>
        <v>ZJ0385001</v>
      </c>
      <c r="F268" s="37" t="str">
        <f>IF(Nomenclature!$J$5="02","","A")</f>
        <v>A</v>
      </c>
      <c r="G268" s="15"/>
      <c r="H268" s="70"/>
      <c r="I268" s="70"/>
      <c r="J268" s="70"/>
      <c r="K268" s="76"/>
    </row>
    <row r="269" spans="1:11" ht="15">
      <c r="A269" s="72"/>
      <c r="B269" s="72"/>
      <c r="C269" s="66"/>
      <c r="D269" s="36" t="s">
        <v>893</v>
      </c>
      <c r="E269" s="72"/>
      <c r="F269" s="45"/>
      <c r="G269" s="15"/>
      <c r="H269" s="70"/>
      <c r="I269" s="70"/>
      <c r="J269" s="70"/>
      <c r="K269" s="76"/>
    </row>
    <row r="270" spans="1:11" ht="15">
      <c r="A270" s="72"/>
      <c r="B270" s="72"/>
      <c r="C270" s="66"/>
      <c r="D270" s="36" t="s">
        <v>900</v>
      </c>
      <c r="E270" s="72" t="s">
        <v>967</v>
      </c>
      <c r="F270" s="45" t="s">
        <v>352</v>
      </c>
      <c r="G270" s="15"/>
      <c r="H270" s="70"/>
      <c r="I270" s="70"/>
      <c r="J270" s="70"/>
      <c r="K270" s="76"/>
    </row>
    <row r="271" spans="1:11" ht="15">
      <c r="A271" s="72"/>
      <c r="B271" s="72"/>
      <c r="C271" s="66"/>
      <c r="D271" s="36" t="s">
        <v>906</v>
      </c>
      <c r="E271" s="72" t="s">
        <v>968</v>
      </c>
      <c r="F271" s="45" t="s">
        <v>352</v>
      </c>
      <c r="G271" s="15"/>
      <c r="H271" s="70"/>
      <c r="I271" s="70"/>
      <c r="J271" s="70"/>
      <c r="K271" s="76"/>
    </row>
    <row r="272" spans="1:11" ht="15">
      <c r="A272" s="72"/>
      <c r="B272" s="72"/>
      <c r="C272" s="66"/>
      <c r="D272" s="36" t="s">
        <v>239</v>
      </c>
      <c r="E272" s="72" t="s">
        <v>968</v>
      </c>
      <c r="F272" s="45" t="s">
        <v>352</v>
      </c>
      <c r="G272" s="15"/>
      <c r="H272" s="70"/>
      <c r="I272" s="70"/>
      <c r="J272" s="70"/>
      <c r="K272" s="76"/>
    </row>
    <row r="273" spans="1:11" ht="15">
      <c r="A273" s="70"/>
      <c r="B273" s="70"/>
      <c r="C273" s="282"/>
      <c r="D273" s="70"/>
      <c r="E273" s="70"/>
      <c r="F273" s="70"/>
      <c r="G273" s="70"/>
      <c r="H273" s="70"/>
      <c r="I273" s="70"/>
      <c r="J273" s="70"/>
      <c r="K273" s="76"/>
    </row>
    <row r="274" spans="1:11" ht="15">
      <c r="A274" s="63" t="s">
        <v>969</v>
      </c>
      <c r="B274" s="13"/>
      <c r="C274" s="111"/>
      <c r="D274" s="70"/>
      <c r="E274" s="69" t="s">
        <v>970</v>
      </c>
      <c r="F274" s="70"/>
      <c r="G274" s="70"/>
      <c r="H274" s="70"/>
      <c r="I274" s="70"/>
      <c r="J274" s="70"/>
      <c r="K274" s="76"/>
    </row>
    <row r="275" spans="1:11" ht="15">
      <c r="A275" s="99" t="s">
        <v>971</v>
      </c>
      <c r="B275" s="112"/>
      <c r="C275" s="38">
        <f>IF($C$76=2,1,0)</f>
        <v>0</v>
      </c>
      <c r="D275" s="45">
        <v>1</v>
      </c>
      <c r="E275" s="45" t="s">
        <v>354</v>
      </c>
      <c r="F275" s="70"/>
      <c r="G275" s="70"/>
      <c r="H275" s="70"/>
      <c r="I275" s="70"/>
      <c r="J275" s="70"/>
      <c r="K275" s="76"/>
    </row>
    <row r="276" spans="1:11" ht="15">
      <c r="A276" s="99" t="s">
        <v>972</v>
      </c>
      <c r="B276" s="112"/>
      <c r="C276" s="38">
        <f>IF($C$76=3,2,0)</f>
        <v>0</v>
      </c>
      <c r="D276" s="45">
        <v>2</v>
      </c>
      <c r="E276" s="45" t="s">
        <v>356</v>
      </c>
      <c r="F276" s="70"/>
      <c r="G276" s="70"/>
      <c r="H276" s="70"/>
      <c r="I276" s="70"/>
      <c r="J276" s="70"/>
      <c r="K276" s="76"/>
    </row>
    <row r="277" spans="1:11" ht="15">
      <c r="A277" s="99" t="s">
        <v>973</v>
      </c>
      <c r="B277" s="112"/>
      <c r="C277" s="38">
        <f>IF($C$76=4,3,0)</f>
        <v>0</v>
      </c>
      <c r="D277" s="45">
        <v>3</v>
      </c>
      <c r="E277" s="45" t="s">
        <v>348</v>
      </c>
      <c r="F277" s="70"/>
      <c r="G277" s="70"/>
      <c r="H277" s="70"/>
      <c r="I277" s="70"/>
      <c r="J277" s="70"/>
      <c r="K277" s="76"/>
    </row>
    <row r="278" spans="1:11" s="141" customFormat="1" ht="15">
      <c r="A278" s="99" t="s">
        <v>974</v>
      </c>
      <c r="B278" s="112"/>
      <c r="C278" s="38">
        <f>IF($C$76=5,4,0)</f>
        <v>0</v>
      </c>
      <c r="D278" s="45">
        <v>4</v>
      </c>
      <c r="E278" s="45" t="s">
        <v>346</v>
      </c>
      <c r="F278" s="70"/>
      <c r="G278" s="70"/>
      <c r="H278" s="70"/>
      <c r="I278" s="70"/>
      <c r="J278" s="70"/>
      <c r="K278" s="76"/>
    </row>
    <row r="279" spans="1:11" ht="15">
      <c r="A279" s="99" t="s">
        <v>975</v>
      </c>
      <c r="B279" s="112"/>
      <c r="C279" s="38">
        <f>IF($C$76=6,5,0)</f>
        <v>0</v>
      </c>
      <c r="D279" s="45">
        <v>5</v>
      </c>
      <c r="E279" s="45" t="s">
        <v>344</v>
      </c>
      <c r="F279" s="142"/>
      <c r="G279" s="142"/>
      <c r="H279" s="142"/>
      <c r="I279" s="142"/>
      <c r="J279" s="142"/>
      <c r="K279" s="143"/>
    </row>
    <row r="280" spans="1:11" ht="15">
      <c r="A280" s="96"/>
      <c r="B280" s="13"/>
      <c r="C280" s="74">
        <f>SUM($C$275:$C$279)</f>
        <v>0</v>
      </c>
      <c r="D280" s="13"/>
      <c r="E280" s="15"/>
      <c r="F280" s="70"/>
      <c r="G280" s="70"/>
      <c r="H280" s="70"/>
      <c r="I280" s="70"/>
      <c r="J280" s="70"/>
      <c r="K280" s="76"/>
    </row>
    <row r="281" spans="1:12" ht="15">
      <c r="A281" s="63" t="s">
        <v>976</v>
      </c>
      <c r="B281" s="69" t="s">
        <v>624</v>
      </c>
      <c r="C281" s="75"/>
      <c r="D281" s="13"/>
      <c r="E281" s="69" t="s">
        <v>963</v>
      </c>
      <c r="F281" s="69" t="s">
        <v>964</v>
      </c>
      <c r="G281" s="69" t="s">
        <v>963</v>
      </c>
      <c r="H281" s="69" t="s">
        <v>964</v>
      </c>
      <c r="I281" s="370">
        <v>367</v>
      </c>
      <c r="J281" s="370">
        <v>36936</v>
      </c>
      <c r="K281" s="370">
        <v>37859</v>
      </c>
      <c r="L281" s="370"/>
    </row>
    <row r="282" spans="1:12" ht="15">
      <c r="A282" s="72"/>
      <c r="B282" s="100" t="str">
        <f>CONCATENATE(Nomenclature!C5,Nomenclature!D5,Nomenclature!E5,Nomenclature!F5,Nomenclature!G5,Nomenclature!H5,Nomenclature!I5,Nomenclature!J5,Nomenclature!N5)</f>
        <v>K*********</v>
      </c>
      <c r="C282" s="104">
        <v>0</v>
      </c>
      <c r="D282" s="45" t="s">
        <v>977</v>
      </c>
      <c r="E282" s="171" t="str">
        <f>HLOOKUP($B$146,$I$281:$L$364,2)</f>
        <v>ZJ0407102</v>
      </c>
      <c r="F282" s="45" t="s">
        <v>352</v>
      </c>
      <c r="G282" s="72" t="s">
        <v>979</v>
      </c>
      <c r="H282" s="45" t="s">
        <v>352</v>
      </c>
      <c r="I282" s="72" t="s">
        <v>978</v>
      </c>
      <c r="J282" s="72" t="s">
        <v>644</v>
      </c>
      <c r="K282" s="72" t="s">
        <v>1092</v>
      </c>
      <c r="L282" s="45"/>
    </row>
    <row r="283" spans="1:12" ht="14.25">
      <c r="A283" s="72"/>
      <c r="B283" s="72"/>
      <c r="C283" s="104">
        <v>0</v>
      </c>
      <c r="D283" s="45" t="s">
        <v>980</v>
      </c>
      <c r="E283" s="171" t="str">
        <f>HLOOKUP($B$146,$I$281:$L$364,3)</f>
        <v>ZJ0407105</v>
      </c>
      <c r="F283" s="45" t="s">
        <v>352</v>
      </c>
      <c r="G283" s="72" t="s">
        <v>979</v>
      </c>
      <c r="H283" s="45" t="s">
        <v>352</v>
      </c>
      <c r="I283" s="72" t="s">
        <v>981</v>
      </c>
      <c r="J283" s="72" t="s">
        <v>645</v>
      </c>
      <c r="K283" s="72" t="s">
        <v>1093</v>
      </c>
      <c r="L283" s="45"/>
    </row>
    <row r="284" spans="1:12" ht="14.25">
      <c r="A284" s="72"/>
      <c r="B284" s="72"/>
      <c r="C284" s="104">
        <v>0</v>
      </c>
      <c r="D284" s="45" t="s">
        <v>982</v>
      </c>
      <c r="E284" s="171" t="str">
        <f>HLOOKUP($B$146,$I$281:$L$364,4)</f>
        <v>ZJ0407102</v>
      </c>
      <c r="F284" s="45" t="s">
        <v>352</v>
      </c>
      <c r="G284" s="72" t="s">
        <v>979</v>
      </c>
      <c r="H284" s="45" t="s">
        <v>352</v>
      </c>
      <c r="I284" s="72" t="s">
        <v>978</v>
      </c>
      <c r="J284" s="72" t="s">
        <v>644</v>
      </c>
      <c r="K284" s="72" t="s">
        <v>1092</v>
      </c>
      <c r="L284" s="45"/>
    </row>
    <row r="285" spans="1:12" ht="14.25">
      <c r="A285" s="72"/>
      <c r="B285" s="72"/>
      <c r="C285" s="104">
        <v>0</v>
      </c>
      <c r="D285" s="45" t="s">
        <v>983</v>
      </c>
      <c r="E285" s="171" t="str">
        <f>HLOOKUP($B$146,$I$281:$L$364,5)</f>
        <v>ZJ0407105</v>
      </c>
      <c r="F285" s="45" t="s">
        <v>352</v>
      </c>
      <c r="G285" s="72" t="s">
        <v>979</v>
      </c>
      <c r="H285" s="45" t="s">
        <v>352</v>
      </c>
      <c r="I285" s="72" t="s">
        <v>981</v>
      </c>
      <c r="J285" s="72" t="s">
        <v>645</v>
      </c>
      <c r="K285" s="72" t="s">
        <v>1093</v>
      </c>
      <c r="L285" s="45"/>
    </row>
    <row r="286" spans="1:12" ht="14.25">
      <c r="A286" s="72"/>
      <c r="B286" s="72"/>
      <c r="C286" s="104">
        <v>0</v>
      </c>
      <c r="D286" s="45" t="s">
        <v>984</v>
      </c>
      <c r="E286" s="171" t="str">
        <f>HLOOKUP($B$146,$I$281:$L$364,6)</f>
        <v>ZJ0407107</v>
      </c>
      <c r="F286" s="45" t="s">
        <v>352</v>
      </c>
      <c r="G286" s="72" t="s">
        <v>979</v>
      </c>
      <c r="H286" s="45" t="s">
        <v>352</v>
      </c>
      <c r="I286" s="72" t="s">
        <v>985</v>
      </c>
      <c r="J286" s="72" t="s">
        <v>985</v>
      </c>
      <c r="K286" s="72" t="s">
        <v>1094</v>
      </c>
      <c r="L286" s="45"/>
    </row>
    <row r="287" spans="1:12" ht="14.25">
      <c r="A287" s="72"/>
      <c r="B287" s="72"/>
      <c r="C287" s="104">
        <v>0</v>
      </c>
      <c r="D287" s="45" t="s">
        <v>986</v>
      </c>
      <c r="E287" s="171" t="str">
        <f>HLOOKUP($B$146,$I$281:$L$364,7)</f>
        <v>ZJ0407107</v>
      </c>
      <c r="F287" s="45" t="s">
        <v>352</v>
      </c>
      <c r="G287" s="72" t="s">
        <v>979</v>
      </c>
      <c r="H287" s="45" t="s">
        <v>352</v>
      </c>
      <c r="I287" s="72" t="s">
        <v>985</v>
      </c>
      <c r="J287" s="72" t="s">
        <v>985</v>
      </c>
      <c r="K287" s="72" t="s">
        <v>1094</v>
      </c>
      <c r="L287" s="45"/>
    </row>
    <row r="288" spans="1:12" ht="14.25">
      <c r="A288" s="72"/>
      <c r="B288" s="72"/>
      <c r="C288" s="104">
        <v>0</v>
      </c>
      <c r="D288" s="45" t="s">
        <v>987</v>
      </c>
      <c r="E288" s="171" t="str">
        <f>HLOOKUP($B$146,$I$281:$L$364,8)</f>
        <v>ZJ0407107</v>
      </c>
      <c r="F288" s="45" t="s">
        <v>352</v>
      </c>
      <c r="G288" s="72" t="s">
        <v>979</v>
      </c>
      <c r="H288" s="45" t="s">
        <v>352</v>
      </c>
      <c r="I288" s="72" t="s">
        <v>985</v>
      </c>
      <c r="J288" s="72" t="s">
        <v>985</v>
      </c>
      <c r="K288" s="72" t="s">
        <v>1094</v>
      </c>
      <c r="L288" s="45"/>
    </row>
    <row r="289" spans="1:12" ht="14.25">
      <c r="A289" s="72"/>
      <c r="B289" s="72"/>
      <c r="C289" s="104">
        <v>0</v>
      </c>
      <c r="D289" s="45" t="s">
        <v>988</v>
      </c>
      <c r="E289" s="171" t="str">
        <f>HLOOKUP($B$146,$I$281:$L$364,9)</f>
        <v>ZJ0407102</v>
      </c>
      <c r="F289" s="45" t="s">
        <v>352</v>
      </c>
      <c r="G289" s="72" t="s">
        <v>979</v>
      </c>
      <c r="H289" s="45" t="s">
        <v>352</v>
      </c>
      <c r="I289" s="72" t="s">
        <v>978</v>
      </c>
      <c r="J289" s="72" t="s">
        <v>644</v>
      </c>
      <c r="K289" s="72" t="s">
        <v>1092</v>
      </c>
      <c r="L289" s="45"/>
    </row>
    <row r="290" spans="1:12" ht="14.25">
      <c r="A290" s="72"/>
      <c r="B290" s="72"/>
      <c r="C290" s="104">
        <v>0</v>
      </c>
      <c r="D290" s="45" t="s">
        <v>989</v>
      </c>
      <c r="E290" s="171" t="str">
        <f>HLOOKUP($B$146,$I$281:$L$364,10)</f>
        <v>ZJ0407102</v>
      </c>
      <c r="F290" s="45" t="s">
        <v>352</v>
      </c>
      <c r="G290" s="72" t="s">
        <v>979</v>
      </c>
      <c r="H290" s="45" t="s">
        <v>352</v>
      </c>
      <c r="I290" s="72" t="s">
        <v>978</v>
      </c>
      <c r="J290" s="72" t="s">
        <v>644</v>
      </c>
      <c r="K290" s="72" t="s">
        <v>1092</v>
      </c>
      <c r="L290" s="45"/>
    </row>
    <row r="291" spans="1:12" ht="14.25">
      <c r="A291" s="72"/>
      <c r="B291" s="72"/>
      <c r="C291" s="104">
        <v>0</v>
      </c>
      <c r="D291" s="45" t="s">
        <v>990</v>
      </c>
      <c r="E291" s="171" t="str">
        <f>HLOOKUP($B$146,$I$281:$L$364,11)</f>
        <v>ZJ0407102</v>
      </c>
      <c r="F291" s="45" t="s">
        <v>352</v>
      </c>
      <c r="G291" s="72" t="s">
        <v>991</v>
      </c>
      <c r="H291" s="45" t="s">
        <v>352</v>
      </c>
      <c r="I291" s="72" t="s">
        <v>978</v>
      </c>
      <c r="J291" s="72" t="s">
        <v>644</v>
      </c>
      <c r="K291" s="72" t="s">
        <v>1092</v>
      </c>
      <c r="L291" s="45"/>
    </row>
    <row r="292" spans="1:12" ht="14.25">
      <c r="A292" s="72"/>
      <c r="B292" s="72"/>
      <c r="C292" s="104">
        <v>0</v>
      </c>
      <c r="D292" s="45" t="s">
        <v>992</v>
      </c>
      <c r="E292" s="171" t="str">
        <f>HLOOKUP($B$146,$I$281:$L$364,12)</f>
        <v>ZJ0407105</v>
      </c>
      <c r="F292" s="45" t="s">
        <v>352</v>
      </c>
      <c r="G292" s="72" t="s">
        <v>991</v>
      </c>
      <c r="H292" s="45" t="s">
        <v>352</v>
      </c>
      <c r="I292" s="72" t="s">
        <v>981</v>
      </c>
      <c r="J292" s="72" t="s">
        <v>645</v>
      </c>
      <c r="K292" s="72" t="s">
        <v>1093</v>
      </c>
      <c r="L292" s="45"/>
    </row>
    <row r="293" spans="1:12" ht="14.25">
      <c r="A293" s="72"/>
      <c r="B293" s="72"/>
      <c r="C293" s="104">
        <v>0</v>
      </c>
      <c r="D293" s="45" t="s">
        <v>993</v>
      </c>
      <c r="E293" s="171" t="str">
        <f>HLOOKUP($B$146,$I$281:$L$364,13)</f>
        <v>ZJ0407102</v>
      </c>
      <c r="F293" s="45" t="s">
        <v>352</v>
      </c>
      <c r="G293" s="72" t="s">
        <v>991</v>
      </c>
      <c r="H293" s="45" t="s">
        <v>352</v>
      </c>
      <c r="I293" s="72" t="s">
        <v>978</v>
      </c>
      <c r="J293" s="72" t="s">
        <v>644</v>
      </c>
      <c r="K293" s="72" t="s">
        <v>1092</v>
      </c>
      <c r="L293" s="45"/>
    </row>
    <row r="294" spans="1:12" ht="14.25">
      <c r="A294" s="72"/>
      <c r="B294" s="72"/>
      <c r="C294" s="104">
        <v>0</v>
      </c>
      <c r="D294" s="45" t="s">
        <v>994</v>
      </c>
      <c r="E294" s="171" t="str">
        <f>HLOOKUP($B$146,$I$281:$L$364,14)</f>
        <v>ZJ0407105</v>
      </c>
      <c r="F294" s="45" t="s">
        <v>352</v>
      </c>
      <c r="G294" s="72" t="s">
        <v>991</v>
      </c>
      <c r="H294" s="45" t="s">
        <v>352</v>
      </c>
      <c r="I294" s="72" t="s">
        <v>981</v>
      </c>
      <c r="J294" s="72" t="s">
        <v>645</v>
      </c>
      <c r="K294" s="72" t="s">
        <v>1093</v>
      </c>
      <c r="L294" s="45"/>
    </row>
    <row r="295" spans="1:12" ht="14.25">
      <c r="A295" s="72"/>
      <c r="B295" s="72"/>
      <c r="C295" s="104">
        <v>0</v>
      </c>
      <c r="D295" s="45" t="s">
        <v>113</v>
      </c>
      <c r="E295" s="171" t="str">
        <f>HLOOKUP($B$146,$I$281:$L$364,15)</f>
        <v>ZJ0407102</v>
      </c>
      <c r="F295" s="45" t="s">
        <v>352</v>
      </c>
      <c r="G295" s="72" t="s">
        <v>991</v>
      </c>
      <c r="H295" s="45" t="s">
        <v>352</v>
      </c>
      <c r="I295" s="72" t="s">
        <v>978</v>
      </c>
      <c r="J295" s="72" t="s">
        <v>644</v>
      </c>
      <c r="K295" s="72" t="s">
        <v>1092</v>
      </c>
      <c r="L295" s="45"/>
    </row>
    <row r="296" spans="1:12" ht="14.25">
      <c r="A296" s="72"/>
      <c r="B296" s="72"/>
      <c r="C296" s="104">
        <v>0</v>
      </c>
      <c r="D296" s="45" t="s">
        <v>114</v>
      </c>
      <c r="E296" s="171" t="str">
        <f>HLOOKUP($B$146,$I$281:$L$364,16)</f>
        <v>ZJ0407105</v>
      </c>
      <c r="F296" s="45" t="s">
        <v>352</v>
      </c>
      <c r="G296" s="72" t="s">
        <v>991</v>
      </c>
      <c r="H296" s="45" t="s">
        <v>352</v>
      </c>
      <c r="I296" s="72" t="s">
        <v>981</v>
      </c>
      <c r="J296" s="72" t="s">
        <v>645</v>
      </c>
      <c r="K296" s="72" t="s">
        <v>1093</v>
      </c>
      <c r="L296" s="45"/>
    </row>
    <row r="297" spans="1:12" ht="14.25">
      <c r="A297" s="72"/>
      <c r="B297" s="72"/>
      <c r="C297" s="104">
        <v>0</v>
      </c>
      <c r="D297" s="45" t="s">
        <v>115</v>
      </c>
      <c r="E297" s="171" t="str">
        <f>HLOOKUP($B$146,$I$281:$L$364,17)</f>
        <v>ZJ0407102</v>
      </c>
      <c r="F297" s="45" t="s">
        <v>352</v>
      </c>
      <c r="G297" s="72" t="s">
        <v>991</v>
      </c>
      <c r="H297" s="45" t="s">
        <v>352</v>
      </c>
      <c r="I297" s="72" t="s">
        <v>978</v>
      </c>
      <c r="J297" s="72" t="s">
        <v>644</v>
      </c>
      <c r="K297" s="72" t="s">
        <v>1092</v>
      </c>
      <c r="L297" s="45"/>
    </row>
    <row r="298" spans="1:12" ht="14.25">
      <c r="A298" s="72"/>
      <c r="B298" s="72"/>
      <c r="C298" s="104">
        <v>0</v>
      </c>
      <c r="D298" s="45" t="s">
        <v>116</v>
      </c>
      <c r="E298" s="171" t="str">
        <f>HLOOKUP($B$146,$I$281:$L$364,18)</f>
        <v>ZJ0407105</v>
      </c>
      <c r="F298" s="45" t="s">
        <v>352</v>
      </c>
      <c r="G298" s="72" t="s">
        <v>991</v>
      </c>
      <c r="H298" s="45" t="s">
        <v>352</v>
      </c>
      <c r="I298" s="72" t="s">
        <v>981</v>
      </c>
      <c r="J298" s="72" t="s">
        <v>645</v>
      </c>
      <c r="K298" s="72" t="s">
        <v>1093</v>
      </c>
      <c r="L298" s="45"/>
    </row>
    <row r="299" spans="1:12" ht="14.25">
      <c r="A299" s="72"/>
      <c r="B299" s="72"/>
      <c r="C299" s="104">
        <v>0</v>
      </c>
      <c r="D299" s="45" t="s">
        <v>995</v>
      </c>
      <c r="E299" s="171" t="str">
        <f>HLOOKUP($B$146,$I$281:$L$364,19)</f>
        <v>ZJ0407102</v>
      </c>
      <c r="F299" s="45" t="s">
        <v>352</v>
      </c>
      <c r="G299" s="72" t="s">
        <v>991</v>
      </c>
      <c r="H299" s="45" t="s">
        <v>352</v>
      </c>
      <c r="I299" s="72" t="s">
        <v>978</v>
      </c>
      <c r="J299" s="72" t="s">
        <v>644</v>
      </c>
      <c r="K299" s="72" t="s">
        <v>1092</v>
      </c>
      <c r="L299" s="45"/>
    </row>
    <row r="300" spans="1:12" ht="14.25">
      <c r="A300" s="72"/>
      <c r="B300" s="72"/>
      <c r="C300" s="104">
        <v>0</v>
      </c>
      <c r="D300" s="45" t="s">
        <v>996</v>
      </c>
      <c r="E300" s="171" t="str">
        <f>HLOOKUP($B$146,$I$281:$L$364,20)</f>
        <v>ZJ0407102</v>
      </c>
      <c r="F300" s="45" t="s">
        <v>352</v>
      </c>
      <c r="G300" s="72" t="s">
        <v>991</v>
      </c>
      <c r="H300" s="45" t="s">
        <v>352</v>
      </c>
      <c r="I300" s="72" t="s">
        <v>978</v>
      </c>
      <c r="J300" s="72" t="s">
        <v>644</v>
      </c>
      <c r="K300" s="72" t="s">
        <v>1092</v>
      </c>
      <c r="L300" s="45"/>
    </row>
    <row r="301" spans="1:12" ht="14.25">
      <c r="A301" s="72"/>
      <c r="B301" s="72"/>
      <c r="C301" s="104">
        <v>0</v>
      </c>
      <c r="D301" s="45" t="s">
        <v>997</v>
      </c>
      <c r="E301" s="171" t="str">
        <f>HLOOKUP($B$146,$I$281:$L$364,21)</f>
        <v>ZJ0407105</v>
      </c>
      <c r="F301" s="45" t="s">
        <v>352</v>
      </c>
      <c r="G301" s="72" t="s">
        <v>991</v>
      </c>
      <c r="H301" s="45" t="s">
        <v>352</v>
      </c>
      <c r="I301" s="72" t="s">
        <v>981</v>
      </c>
      <c r="J301" s="72" t="s">
        <v>645</v>
      </c>
      <c r="K301" s="72" t="s">
        <v>1093</v>
      </c>
      <c r="L301" s="45"/>
    </row>
    <row r="302" spans="1:12" ht="14.25">
      <c r="A302" s="72"/>
      <c r="B302" s="72"/>
      <c r="C302" s="104">
        <v>0</v>
      </c>
      <c r="D302" s="45" t="s">
        <v>998</v>
      </c>
      <c r="E302" s="171" t="str">
        <f>HLOOKUP($B$146,$I$281:$L$364,22)</f>
        <v>ZJ0407102</v>
      </c>
      <c r="F302" s="45" t="s">
        <v>352</v>
      </c>
      <c r="G302" s="72" t="s">
        <v>991</v>
      </c>
      <c r="H302" s="45" t="s">
        <v>352</v>
      </c>
      <c r="I302" s="72" t="s">
        <v>978</v>
      </c>
      <c r="J302" s="72" t="s">
        <v>644</v>
      </c>
      <c r="K302" s="72" t="s">
        <v>1092</v>
      </c>
      <c r="L302" s="45"/>
    </row>
    <row r="303" spans="1:12" ht="14.25">
      <c r="A303" s="72"/>
      <c r="B303" s="72"/>
      <c r="C303" s="104">
        <v>0</v>
      </c>
      <c r="D303" s="45" t="s">
        <v>999</v>
      </c>
      <c r="E303" s="171" t="str">
        <f>HLOOKUP($B$146,$I$281:$L$364,23)</f>
        <v>ZJ0407105</v>
      </c>
      <c r="F303" s="45" t="s">
        <v>352</v>
      </c>
      <c r="G303" s="72" t="s">
        <v>991</v>
      </c>
      <c r="H303" s="45" t="s">
        <v>352</v>
      </c>
      <c r="I303" s="72" t="s">
        <v>981</v>
      </c>
      <c r="J303" s="72" t="s">
        <v>645</v>
      </c>
      <c r="K303" s="72" t="s">
        <v>1093</v>
      </c>
      <c r="L303" s="45"/>
    </row>
    <row r="304" spans="1:12" ht="14.25">
      <c r="A304" s="72"/>
      <c r="B304" s="72"/>
      <c r="C304" s="104">
        <v>0</v>
      </c>
      <c r="D304" s="45" t="s">
        <v>1000</v>
      </c>
      <c r="E304" s="171" t="str">
        <f>HLOOKUP($B$146,$I$281:$L$364,24)</f>
        <v>ZJ0407107</v>
      </c>
      <c r="F304" s="45" t="s">
        <v>352</v>
      </c>
      <c r="G304" s="72" t="s">
        <v>991</v>
      </c>
      <c r="H304" s="45" t="s">
        <v>352</v>
      </c>
      <c r="I304" s="72" t="s">
        <v>985</v>
      </c>
      <c r="J304" s="72" t="s">
        <v>985</v>
      </c>
      <c r="K304" s="72" t="s">
        <v>1094</v>
      </c>
      <c r="L304" s="45"/>
    </row>
    <row r="305" spans="1:12" ht="14.25">
      <c r="A305" s="72"/>
      <c r="B305" s="72"/>
      <c r="C305" s="104">
        <v>0</v>
      </c>
      <c r="D305" s="45" t="s">
        <v>1001</v>
      </c>
      <c r="E305" s="171" t="str">
        <f>HLOOKUP($B$146,$I$281:$L$364,25)</f>
        <v>ZJ0407107</v>
      </c>
      <c r="F305" s="45" t="s">
        <v>352</v>
      </c>
      <c r="G305" s="72" t="s">
        <v>991</v>
      </c>
      <c r="H305" s="45" t="s">
        <v>352</v>
      </c>
      <c r="I305" s="72" t="s">
        <v>985</v>
      </c>
      <c r="J305" s="72" t="s">
        <v>985</v>
      </c>
      <c r="K305" s="72" t="s">
        <v>1094</v>
      </c>
      <c r="L305" s="45"/>
    </row>
    <row r="306" spans="1:12" ht="14.25">
      <c r="A306" s="72"/>
      <c r="B306" s="72"/>
      <c r="C306" s="104">
        <v>0</v>
      </c>
      <c r="D306" s="45" t="s">
        <v>1002</v>
      </c>
      <c r="E306" s="171" t="str">
        <f>HLOOKUP($B$146,$I$281:$L$364,26)</f>
        <v>ZJ0407107</v>
      </c>
      <c r="F306" s="45" t="s">
        <v>352</v>
      </c>
      <c r="G306" s="72" t="s">
        <v>991</v>
      </c>
      <c r="H306" s="45" t="s">
        <v>352</v>
      </c>
      <c r="I306" s="72" t="s">
        <v>985</v>
      </c>
      <c r="J306" s="72" t="s">
        <v>985</v>
      </c>
      <c r="K306" s="72" t="s">
        <v>1094</v>
      </c>
      <c r="L306" s="45"/>
    </row>
    <row r="307" spans="1:12" ht="14.25">
      <c r="A307" s="72"/>
      <c r="B307" s="72"/>
      <c r="C307" s="104">
        <v>0</v>
      </c>
      <c r="D307" s="45" t="s">
        <v>325</v>
      </c>
      <c r="E307" s="171" t="str">
        <f>HLOOKUP($B$146,$I$281:$L$364,27)</f>
        <v>ZJ0407102</v>
      </c>
      <c r="F307" s="45" t="s">
        <v>352</v>
      </c>
      <c r="G307" s="72" t="s">
        <v>991</v>
      </c>
      <c r="H307" s="45" t="s">
        <v>352</v>
      </c>
      <c r="I307" s="72" t="s">
        <v>978</v>
      </c>
      <c r="J307" s="72" t="s">
        <v>644</v>
      </c>
      <c r="K307" s="72" t="s">
        <v>1092</v>
      </c>
      <c r="L307" s="45"/>
    </row>
    <row r="308" spans="1:12" ht="14.25">
      <c r="A308" s="72"/>
      <c r="B308" s="72"/>
      <c r="C308" s="104">
        <v>0</v>
      </c>
      <c r="D308" s="45" t="s">
        <v>1003</v>
      </c>
      <c r="E308" s="171" t="str">
        <f>HLOOKUP($B$146,$I$281:$L$364,28)</f>
        <v>ZJ0407102</v>
      </c>
      <c r="F308" s="45" t="s">
        <v>352</v>
      </c>
      <c r="G308" s="72" t="s">
        <v>991</v>
      </c>
      <c r="H308" s="45" t="s">
        <v>352</v>
      </c>
      <c r="I308" s="72" t="s">
        <v>978</v>
      </c>
      <c r="J308" s="72" t="s">
        <v>644</v>
      </c>
      <c r="K308" s="72" t="s">
        <v>1092</v>
      </c>
      <c r="L308" s="45"/>
    </row>
    <row r="309" spans="1:12" ht="14.25">
      <c r="A309" s="72"/>
      <c r="B309" s="72"/>
      <c r="C309" s="104">
        <v>0</v>
      </c>
      <c r="D309" s="45" t="s">
        <v>1004</v>
      </c>
      <c r="E309" s="171" t="str">
        <f>HLOOKUP($B$146,$I$281:$L$364,29)</f>
        <v>ZJ0407105</v>
      </c>
      <c r="F309" s="45" t="s">
        <v>352</v>
      </c>
      <c r="G309" s="72" t="s">
        <v>991</v>
      </c>
      <c r="H309" s="45" t="s">
        <v>352</v>
      </c>
      <c r="I309" s="72" t="s">
        <v>981</v>
      </c>
      <c r="J309" s="72" t="s">
        <v>645</v>
      </c>
      <c r="K309" s="72" t="s">
        <v>1093</v>
      </c>
      <c r="L309" s="45"/>
    </row>
    <row r="310" spans="1:12" ht="14.25">
      <c r="A310" s="72"/>
      <c r="B310" s="72"/>
      <c r="C310" s="104">
        <v>0</v>
      </c>
      <c r="D310" s="45" t="s">
        <v>1005</v>
      </c>
      <c r="E310" s="171" t="str">
        <f>HLOOKUP($B$146,$I$281:$L$364,30)</f>
        <v>ZJ0407102</v>
      </c>
      <c r="F310" s="45" t="s">
        <v>352</v>
      </c>
      <c r="G310" s="72" t="s">
        <v>1006</v>
      </c>
      <c r="H310" s="45" t="s">
        <v>352</v>
      </c>
      <c r="I310" s="72" t="s">
        <v>978</v>
      </c>
      <c r="J310" s="72" t="s">
        <v>644</v>
      </c>
      <c r="K310" s="72" t="s">
        <v>1092</v>
      </c>
      <c r="L310" s="45"/>
    </row>
    <row r="311" spans="1:12" ht="14.25">
      <c r="A311" s="72"/>
      <c r="B311" s="72"/>
      <c r="C311" s="104">
        <v>0</v>
      </c>
      <c r="D311" s="45" t="s">
        <v>1007</v>
      </c>
      <c r="E311" s="171" t="str">
        <f>HLOOKUP($B$146,$I$281:$L$364,31)</f>
        <v>ZJ0407102</v>
      </c>
      <c r="F311" s="45" t="s">
        <v>352</v>
      </c>
      <c r="G311" s="72" t="s">
        <v>1006</v>
      </c>
      <c r="H311" s="45" t="s">
        <v>352</v>
      </c>
      <c r="I311" s="72" t="s">
        <v>978</v>
      </c>
      <c r="J311" s="72" t="s">
        <v>644</v>
      </c>
      <c r="K311" s="72" t="s">
        <v>1092</v>
      </c>
      <c r="L311" s="45"/>
    </row>
    <row r="312" spans="1:12" ht="14.25">
      <c r="A312" s="72"/>
      <c r="B312" s="72"/>
      <c r="C312" s="104">
        <v>0</v>
      </c>
      <c r="D312" s="45" t="s">
        <v>1008</v>
      </c>
      <c r="E312" s="171" t="str">
        <f>HLOOKUP($B$146,$I$281:$L$364,32)</f>
        <v>ZJ0407102</v>
      </c>
      <c r="F312" s="45" t="s">
        <v>352</v>
      </c>
      <c r="G312" s="72" t="s">
        <v>1006</v>
      </c>
      <c r="H312" s="45" t="s">
        <v>352</v>
      </c>
      <c r="I312" s="72" t="s">
        <v>978</v>
      </c>
      <c r="J312" s="72" t="s">
        <v>644</v>
      </c>
      <c r="K312" s="72" t="s">
        <v>1092</v>
      </c>
      <c r="L312" s="45"/>
    </row>
    <row r="313" spans="1:12" ht="14.25">
      <c r="A313" s="72"/>
      <c r="B313" s="72"/>
      <c r="C313" s="104">
        <v>0</v>
      </c>
      <c r="D313" s="45" t="s">
        <v>1009</v>
      </c>
      <c r="E313" s="171" t="str">
        <f>HLOOKUP($B$146,$I$281:$L$364,33)</f>
        <v>ZJ0407102</v>
      </c>
      <c r="F313" s="45" t="s">
        <v>352</v>
      </c>
      <c r="G313" s="72" t="s">
        <v>1006</v>
      </c>
      <c r="H313" s="45" t="s">
        <v>352</v>
      </c>
      <c r="I313" s="72" t="s">
        <v>978</v>
      </c>
      <c r="J313" s="72" t="s">
        <v>644</v>
      </c>
      <c r="K313" s="72" t="s">
        <v>1092</v>
      </c>
      <c r="L313" s="45"/>
    </row>
    <row r="314" spans="1:12" ht="14.25">
      <c r="A314" s="72"/>
      <c r="B314" s="72"/>
      <c r="C314" s="104">
        <v>0</v>
      </c>
      <c r="D314" s="45" t="s">
        <v>1010</v>
      </c>
      <c r="E314" s="171" t="str">
        <f>HLOOKUP($B$146,$I$281:$L$364,34)</f>
        <v>ZJ0407107</v>
      </c>
      <c r="F314" s="45" t="s">
        <v>352</v>
      </c>
      <c r="G314" s="72" t="s">
        <v>991</v>
      </c>
      <c r="H314" s="45" t="s">
        <v>352</v>
      </c>
      <c r="I314" s="72" t="s">
        <v>985</v>
      </c>
      <c r="J314" s="72" t="s">
        <v>985</v>
      </c>
      <c r="K314" s="72" t="s">
        <v>1094</v>
      </c>
      <c r="L314" s="45"/>
    </row>
    <row r="315" spans="1:12" ht="14.25">
      <c r="A315" s="72"/>
      <c r="B315" s="72"/>
      <c r="C315" s="104">
        <v>0</v>
      </c>
      <c r="D315" s="45" t="s">
        <v>1011</v>
      </c>
      <c r="E315" s="171" t="str">
        <f>HLOOKUP($B$146,$I$281:$L$364,35)</f>
        <v>ZJ0407107</v>
      </c>
      <c r="F315" s="45" t="s">
        <v>352</v>
      </c>
      <c r="G315" s="72" t="s">
        <v>1006</v>
      </c>
      <c r="H315" s="45" t="s">
        <v>352</v>
      </c>
      <c r="I315" s="72" t="s">
        <v>985</v>
      </c>
      <c r="J315" s="72" t="s">
        <v>985</v>
      </c>
      <c r="K315" s="72" t="s">
        <v>1094</v>
      </c>
      <c r="L315" s="45"/>
    </row>
    <row r="316" spans="1:12" ht="14.25">
      <c r="A316" s="72"/>
      <c r="B316" s="72"/>
      <c r="C316" s="104">
        <v>0</v>
      </c>
      <c r="D316" s="45" t="s">
        <v>1012</v>
      </c>
      <c r="E316" s="171" t="str">
        <f>HLOOKUP($B$146,$I$281:$L$364,36)</f>
        <v>ZJ0407107</v>
      </c>
      <c r="F316" s="45" t="s">
        <v>352</v>
      </c>
      <c r="G316" s="72" t="s">
        <v>1006</v>
      </c>
      <c r="H316" s="45" t="s">
        <v>352</v>
      </c>
      <c r="I316" s="72" t="s">
        <v>985</v>
      </c>
      <c r="J316" s="72" t="s">
        <v>985</v>
      </c>
      <c r="K316" s="72" t="s">
        <v>1094</v>
      </c>
      <c r="L316" s="45"/>
    </row>
    <row r="317" spans="1:12" ht="14.25">
      <c r="A317" s="72"/>
      <c r="B317" s="72"/>
      <c r="C317" s="104">
        <v>0</v>
      </c>
      <c r="D317" s="45" t="s">
        <v>1013</v>
      </c>
      <c r="E317" s="171" t="str">
        <f>HLOOKUP($B$146,$I$281:$L$364,37)</f>
        <v>ZJ0407101</v>
      </c>
      <c r="F317" s="45" t="s">
        <v>352</v>
      </c>
      <c r="G317" s="72" t="s">
        <v>979</v>
      </c>
      <c r="H317" s="45" t="s">
        <v>352</v>
      </c>
      <c r="I317" s="72" t="s">
        <v>1014</v>
      </c>
      <c r="J317" s="72" t="s">
        <v>1022</v>
      </c>
      <c r="K317" s="72" t="s">
        <v>1095</v>
      </c>
      <c r="L317" s="45"/>
    </row>
    <row r="318" spans="1:12" ht="14.25">
      <c r="A318" s="72"/>
      <c r="B318" s="72"/>
      <c r="C318" s="104">
        <v>0</v>
      </c>
      <c r="D318" s="45" t="s">
        <v>1015</v>
      </c>
      <c r="E318" s="171" t="str">
        <f>HLOOKUP($B$146,$I$281:$L$364,38)</f>
        <v>ZJ0407103</v>
      </c>
      <c r="F318" s="45" t="s">
        <v>352</v>
      </c>
      <c r="G318" s="72" t="s">
        <v>979</v>
      </c>
      <c r="H318" s="45" t="s">
        <v>352</v>
      </c>
      <c r="I318" s="72" t="s">
        <v>1016</v>
      </c>
      <c r="J318" s="72" t="s">
        <v>1025</v>
      </c>
      <c r="K318" s="72" t="s">
        <v>1096</v>
      </c>
      <c r="L318" s="45"/>
    </row>
    <row r="319" spans="1:12" ht="14.25">
      <c r="A319" s="72"/>
      <c r="B319" s="72"/>
      <c r="C319" s="104">
        <v>0</v>
      </c>
      <c r="D319" s="45" t="s">
        <v>1017</v>
      </c>
      <c r="E319" s="171" t="str">
        <f>HLOOKUP($B$146,$I$281:$L$364,39)</f>
        <v>ZJ0407101</v>
      </c>
      <c r="F319" s="45" t="s">
        <v>352</v>
      </c>
      <c r="G319" s="72" t="s">
        <v>979</v>
      </c>
      <c r="H319" s="45" t="s">
        <v>352</v>
      </c>
      <c r="I319" s="72" t="s">
        <v>1014</v>
      </c>
      <c r="J319" s="72" t="s">
        <v>1022</v>
      </c>
      <c r="K319" s="72" t="s">
        <v>1095</v>
      </c>
      <c r="L319" s="45"/>
    </row>
    <row r="320" spans="1:12" ht="14.25">
      <c r="A320" s="72"/>
      <c r="B320" s="72"/>
      <c r="C320" s="104">
        <v>0</v>
      </c>
      <c r="D320" s="45" t="s">
        <v>1018</v>
      </c>
      <c r="E320" s="171" t="str">
        <f>HLOOKUP($B$146,$I$281:$L$364,40)</f>
        <v>ZJ0407103</v>
      </c>
      <c r="F320" s="45" t="s">
        <v>352</v>
      </c>
      <c r="G320" s="72" t="s">
        <v>979</v>
      </c>
      <c r="H320" s="45" t="s">
        <v>352</v>
      </c>
      <c r="I320" s="72" t="s">
        <v>1016</v>
      </c>
      <c r="J320" s="72" t="s">
        <v>1025</v>
      </c>
      <c r="K320" s="72" t="s">
        <v>1096</v>
      </c>
      <c r="L320" s="45"/>
    </row>
    <row r="321" spans="1:12" ht="14.25">
      <c r="A321" s="72"/>
      <c r="B321" s="72"/>
      <c r="C321" s="104">
        <v>0</v>
      </c>
      <c r="D321" s="45" t="s">
        <v>1019</v>
      </c>
      <c r="E321" s="171" t="str">
        <f>HLOOKUP($B$146,$I$281:$L$364,41)</f>
        <v>ZJ0407101</v>
      </c>
      <c r="F321" s="45" t="s">
        <v>352</v>
      </c>
      <c r="G321" s="72" t="s">
        <v>979</v>
      </c>
      <c r="H321" s="45" t="s">
        <v>352</v>
      </c>
      <c r="I321" s="72" t="s">
        <v>1014</v>
      </c>
      <c r="J321" s="72" t="s">
        <v>1022</v>
      </c>
      <c r="K321" s="72" t="s">
        <v>1095</v>
      </c>
      <c r="L321" s="45"/>
    </row>
    <row r="322" spans="1:12" ht="14.25">
      <c r="A322" s="72"/>
      <c r="B322" s="72"/>
      <c r="C322" s="104">
        <v>0</v>
      </c>
      <c r="D322" s="45" t="s">
        <v>1020</v>
      </c>
      <c r="E322" s="171" t="str">
        <f>HLOOKUP($B$146,$I$281:$L$364,42)</f>
        <v>ZJ0407103</v>
      </c>
      <c r="F322" s="45" t="s">
        <v>352</v>
      </c>
      <c r="G322" s="72" t="s">
        <v>979</v>
      </c>
      <c r="H322" s="45" t="s">
        <v>352</v>
      </c>
      <c r="I322" s="72" t="s">
        <v>1016</v>
      </c>
      <c r="J322" s="72" t="s">
        <v>1025</v>
      </c>
      <c r="K322" s="72" t="s">
        <v>1096</v>
      </c>
      <c r="L322" s="45"/>
    </row>
    <row r="323" spans="1:12" ht="14.25">
      <c r="A323" s="72"/>
      <c r="B323" s="72"/>
      <c r="C323" s="104">
        <v>0</v>
      </c>
      <c r="D323" s="45" t="s">
        <v>1021</v>
      </c>
      <c r="E323" s="171" t="str">
        <f>HLOOKUP($B$146,$I$281:$L$364,43)</f>
        <v>ZJ0407101</v>
      </c>
      <c r="F323" s="45" t="s">
        <v>352</v>
      </c>
      <c r="G323" s="72" t="s">
        <v>1023</v>
      </c>
      <c r="H323" s="45" t="s">
        <v>352</v>
      </c>
      <c r="I323" s="72" t="s">
        <v>1022</v>
      </c>
      <c r="J323" s="72" t="s">
        <v>1022</v>
      </c>
      <c r="K323" s="72" t="s">
        <v>1095</v>
      </c>
      <c r="L323" s="45"/>
    </row>
    <row r="324" spans="1:12" ht="14.25">
      <c r="A324" s="72"/>
      <c r="B324" s="72"/>
      <c r="C324" s="104">
        <v>0</v>
      </c>
      <c r="D324" s="45" t="s">
        <v>1024</v>
      </c>
      <c r="E324" s="171" t="str">
        <f>HLOOKUP($B$146,$I$281:$L$364,44)</f>
        <v>ZJ0407103</v>
      </c>
      <c r="F324" s="45" t="s">
        <v>352</v>
      </c>
      <c r="G324" s="72" t="s">
        <v>1023</v>
      </c>
      <c r="H324" s="45" t="s">
        <v>352</v>
      </c>
      <c r="I324" s="72" t="s">
        <v>1025</v>
      </c>
      <c r="J324" s="72" t="s">
        <v>1025</v>
      </c>
      <c r="K324" s="72" t="s">
        <v>1096</v>
      </c>
      <c r="L324" s="45"/>
    </row>
    <row r="325" spans="1:12" ht="14.25">
      <c r="A325" s="72"/>
      <c r="B325" s="72"/>
      <c r="C325" s="104">
        <v>0</v>
      </c>
      <c r="D325" s="45" t="s">
        <v>1026</v>
      </c>
      <c r="E325" s="171" t="str">
        <f>HLOOKUP($B$146,$I$281:$L$364,45)</f>
        <v>ZJ0407101</v>
      </c>
      <c r="F325" s="45" t="s">
        <v>352</v>
      </c>
      <c r="G325" s="72" t="s">
        <v>1023</v>
      </c>
      <c r="H325" s="45" t="s">
        <v>352</v>
      </c>
      <c r="I325" s="72" t="s">
        <v>1022</v>
      </c>
      <c r="J325" s="72" t="s">
        <v>1022</v>
      </c>
      <c r="K325" s="72" t="s">
        <v>1095</v>
      </c>
      <c r="L325" s="45"/>
    </row>
    <row r="326" spans="1:12" ht="14.25">
      <c r="A326" s="72"/>
      <c r="B326" s="72"/>
      <c r="C326" s="104">
        <v>0</v>
      </c>
      <c r="D326" s="45" t="s">
        <v>1027</v>
      </c>
      <c r="E326" s="171" t="str">
        <f>HLOOKUP($B$146,$I$281:$L$364,46)</f>
        <v>ZJ0407103</v>
      </c>
      <c r="F326" s="45" t="s">
        <v>352</v>
      </c>
      <c r="G326" s="72" t="s">
        <v>1023</v>
      </c>
      <c r="H326" s="45" t="s">
        <v>352</v>
      </c>
      <c r="I326" s="72" t="s">
        <v>1025</v>
      </c>
      <c r="J326" s="72" t="s">
        <v>1025</v>
      </c>
      <c r="K326" s="72" t="s">
        <v>1096</v>
      </c>
      <c r="L326" s="45"/>
    </row>
    <row r="327" spans="1:12" s="389" customFormat="1" ht="14.25">
      <c r="A327" s="72"/>
      <c r="B327" s="72"/>
      <c r="C327" s="104">
        <v>0</v>
      </c>
      <c r="D327" s="45" t="s">
        <v>1028</v>
      </c>
      <c r="E327" s="171" t="str">
        <f>HLOOKUP($B$146,$I$281:$L$364,47)</f>
        <v>ZJ0407102</v>
      </c>
      <c r="F327" s="45" t="s">
        <v>352</v>
      </c>
      <c r="G327" s="72" t="s">
        <v>979</v>
      </c>
      <c r="H327" s="45" t="s">
        <v>352</v>
      </c>
      <c r="I327" s="72" t="s">
        <v>978</v>
      </c>
      <c r="J327" s="72" t="s">
        <v>644</v>
      </c>
      <c r="K327" s="72" t="s">
        <v>1092</v>
      </c>
      <c r="L327" s="45"/>
    </row>
    <row r="328" spans="1:12" s="389" customFormat="1" ht="14.25">
      <c r="A328" s="72"/>
      <c r="B328" s="72"/>
      <c r="C328" s="104">
        <v>0</v>
      </c>
      <c r="D328" s="45" t="s">
        <v>1029</v>
      </c>
      <c r="E328" s="171" t="str">
        <f>HLOOKUP($B$146,$I$281:$L$364,48)</f>
        <v>ZJ0407105</v>
      </c>
      <c r="F328" s="45" t="s">
        <v>352</v>
      </c>
      <c r="G328" s="72" t="s">
        <v>979</v>
      </c>
      <c r="H328" s="45" t="s">
        <v>352</v>
      </c>
      <c r="I328" s="72" t="s">
        <v>981</v>
      </c>
      <c r="J328" s="72" t="s">
        <v>645</v>
      </c>
      <c r="K328" s="72" t="s">
        <v>1093</v>
      </c>
      <c r="L328" s="45"/>
    </row>
    <row r="329" spans="1:12" s="389" customFormat="1" ht="14.25">
      <c r="A329" s="72"/>
      <c r="B329" s="72"/>
      <c r="C329" s="104">
        <v>0</v>
      </c>
      <c r="D329" s="45" t="s">
        <v>1030</v>
      </c>
      <c r="E329" s="171" t="str">
        <f>HLOOKUP($B$146,$I$281:$L$364,49)</f>
        <v>ZJ0407102</v>
      </c>
      <c r="F329" s="45" t="s">
        <v>352</v>
      </c>
      <c r="G329" s="72" t="s">
        <v>979</v>
      </c>
      <c r="H329" s="45" t="s">
        <v>352</v>
      </c>
      <c r="I329" s="72" t="s">
        <v>978</v>
      </c>
      <c r="J329" s="72" t="s">
        <v>644</v>
      </c>
      <c r="K329" s="72" t="s">
        <v>1092</v>
      </c>
      <c r="L329" s="45"/>
    </row>
    <row r="330" spans="1:12" s="389" customFormat="1" ht="14.25">
      <c r="A330" s="72"/>
      <c r="B330" s="72"/>
      <c r="C330" s="104">
        <v>0</v>
      </c>
      <c r="D330" s="45" t="s">
        <v>1031</v>
      </c>
      <c r="E330" s="171" t="str">
        <f>HLOOKUP($B$146,$I$281:$L$364,50)</f>
        <v>ZJ0407105</v>
      </c>
      <c r="F330" s="45" t="s">
        <v>352</v>
      </c>
      <c r="G330" s="72" t="s">
        <v>979</v>
      </c>
      <c r="H330" s="45" t="s">
        <v>352</v>
      </c>
      <c r="I330" s="72" t="s">
        <v>981</v>
      </c>
      <c r="J330" s="72" t="s">
        <v>645</v>
      </c>
      <c r="K330" s="72" t="s">
        <v>1093</v>
      </c>
      <c r="L330" s="45"/>
    </row>
    <row r="331" spans="1:12" s="389" customFormat="1" ht="14.25">
      <c r="A331" s="72"/>
      <c r="B331" s="72"/>
      <c r="C331" s="104">
        <v>0</v>
      </c>
      <c r="D331" s="45" t="s">
        <v>1032</v>
      </c>
      <c r="E331" s="171" t="str">
        <f>HLOOKUP($B$146,$I$281:$L$364,51)</f>
        <v>ZJ0407101</v>
      </c>
      <c r="F331" s="45" t="s">
        <v>352</v>
      </c>
      <c r="G331" s="72" t="s">
        <v>1023</v>
      </c>
      <c r="H331" s="45" t="s">
        <v>352</v>
      </c>
      <c r="I331" s="72" t="s">
        <v>1022</v>
      </c>
      <c r="J331" s="72" t="s">
        <v>1022</v>
      </c>
      <c r="K331" s="72" t="s">
        <v>1095</v>
      </c>
      <c r="L331" s="45"/>
    </row>
    <row r="332" spans="1:12" s="389" customFormat="1" ht="14.25">
      <c r="A332" s="72"/>
      <c r="B332" s="72"/>
      <c r="C332" s="104">
        <v>0</v>
      </c>
      <c r="D332" s="45" t="s">
        <v>1033</v>
      </c>
      <c r="E332" s="171" t="str">
        <f>HLOOKUP($B$146,$I$281:$L$364,52)</f>
        <v>ZJ0407103</v>
      </c>
      <c r="F332" s="45" t="s">
        <v>352</v>
      </c>
      <c r="G332" s="72" t="s">
        <v>1023</v>
      </c>
      <c r="H332" s="45" t="s">
        <v>352</v>
      </c>
      <c r="I332" s="72" t="s">
        <v>1025</v>
      </c>
      <c r="J332" s="72" t="s">
        <v>1025</v>
      </c>
      <c r="K332" s="72" t="s">
        <v>1096</v>
      </c>
      <c r="L332" s="45"/>
    </row>
    <row r="333" spans="1:12" s="389" customFormat="1" ht="14.25">
      <c r="A333" s="72"/>
      <c r="B333" s="72"/>
      <c r="C333" s="104">
        <v>0</v>
      </c>
      <c r="D333" s="45" t="s">
        <v>1034</v>
      </c>
      <c r="E333" s="171" t="str">
        <f>HLOOKUP($B$146,$I$281:$L$364,53)</f>
        <v>ZJ0407101</v>
      </c>
      <c r="F333" s="45" t="s">
        <v>352</v>
      </c>
      <c r="G333" s="72" t="s">
        <v>1023</v>
      </c>
      <c r="H333" s="45" t="s">
        <v>352</v>
      </c>
      <c r="I333" s="72" t="s">
        <v>1022</v>
      </c>
      <c r="J333" s="72" t="s">
        <v>1022</v>
      </c>
      <c r="K333" s="72" t="s">
        <v>1095</v>
      </c>
      <c r="L333" s="45"/>
    </row>
    <row r="334" spans="1:12" s="389" customFormat="1" ht="14.25">
      <c r="A334" s="72"/>
      <c r="B334" s="72"/>
      <c r="C334" s="104">
        <v>0</v>
      </c>
      <c r="D334" s="45" t="s">
        <v>1035</v>
      </c>
      <c r="E334" s="171" t="str">
        <f>HLOOKUP($B$146,$I$281:$L$364,54)</f>
        <v>ZJ0407103</v>
      </c>
      <c r="F334" s="45" t="s">
        <v>352</v>
      </c>
      <c r="G334" s="72" t="s">
        <v>1023</v>
      </c>
      <c r="H334" s="45" t="s">
        <v>352</v>
      </c>
      <c r="I334" s="72" t="s">
        <v>1025</v>
      </c>
      <c r="J334" s="72" t="s">
        <v>1025</v>
      </c>
      <c r="K334" s="72" t="s">
        <v>1096</v>
      </c>
      <c r="L334" s="45"/>
    </row>
    <row r="335" spans="1:12" s="389" customFormat="1" ht="14.25">
      <c r="A335" s="72"/>
      <c r="B335" s="72"/>
      <c r="C335" s="104">
        <v>0</v>
      </c>
      <c r="D335" s="45" t="s">
        <v>1036</v>
      </c>
      <c r="E335" s="171" t="str">
        <f>HLOOKUP($B$146,$I$281:$L$364,55)</f>
        <v>ZJ0407102</v>
      </c>
      <c r="F335" s="45" t="s">
        <v>352</v>
      </c>
      <c r="G335" s="72" t="s">
        <v>979</v>
      </c>
      <c r="H335" s="45" t="s">
        <v>352</v>
      </c>
      <c r="I335" s="72" t="s">
        <v>978</v>
      </c>
      <c r="J335" s="72" t="s">
        <v>644</v>
      </c>
      <c r="K335" s="72" t="s">
        <v>1092</v>
      </c>
      <c r="L335" s="45"/>
    </row>
    <row r="336" spans="1:12" s="389" customFormat="1" ht="14.25">
      <c r="A336" s="72"/>
      <c r="B336" s="72"/>
      <c r="C336" s="104">
        <v>0</v>
      </c>
      <c r="D336" s="45" t="s">
        <v>1037</v>
      </c>
      <c r="E336" s="171" t="str">
        <f>HLOOKUP($B$146,$I$281:$L$364,56)</f>
        <v>ZJ0407102</v>
      </c>
      <c r="F336" s="45" t="s">
        <v>352</v>
      </c>
      <c r="G336" s="72" t="s">
        <v>979</v>
      </c>
      <c r="H336" s="45" t="s">
        <v>352</v>
      </c>
      <c r="I336" s="72" t="s">
        <v>978</v>
      </c>
      <c r="J336" s="72" t="s">
        <v>644</v>
      </c>
      <c r="K336" s="72" t="s">
        <v>1092</v>
      </c>
      <c r="L336" s="45"/>
    </row>
    <row r="337" spans="1:12" s="389" customFormat="1" ht="14.25">
      <c r="A337" s="72"/>
      <c r="B337" s="72"/>
      <c r="C337" s="104">
        <v>0</v>
      </c>
      <c r="D337" s="45" t="s">
        <v>1038</v>
      </c>
      <c r="E337" s="171" t="str">
        <f>HLOOKUP($B$146,$I$281:$L$364,57)</f>
        <v>ZJ0407102</v>
      </c>
      <c r="F337" s="45" t="s">
        <v>352</v>
      </c>
      <c r="G337" s="72" t="s">
        <v>979</v>
      </c>
      <c r="H337" s="45" t="s">
        <v>352</v>
      </c>
      <c r="I337" s="72" t="s">
        <v>978</v>
      </c>
      <c r="J337" s="72" t="s">
        <v>644</v>
      </c>
      <c r="K337" s="72" t="s">
        <v>1092</v>
      </c>
      <c r="L337" s="45"/>
    </row>
    <row r="338" spans="1:12" s="389" customFormat="1" ht="14.25">
      <c r="A338" s="72"/>
      <c r="B338" s="72"/>
      <c r="C338" s="104">
        <v>0</v>
      </c>
      <c r="D338" s="45" t="s">
        <v>1039</v>
      </c>
      <c r="E338" s="171" t="str">
        <f>HLOOKUP($B$146,$I$281:$L$364,58)</f>
        <v>ZJ0407102</v>
      </c>
      <c r="F338" s="45" t="s">
        <v>352</v>
      </c>
      <c r="G338" s="72" t="s">
        <v>979</v>
      </c>
      <c r="H338" s="45" t="s">
        <v>352</v>
      </c>
      <c r="I338" s="72" t="s">
        <v>978</v>
      </c>
      <c r="J338" s="72" t="s">
        <v>644</v>
      </c>
      <c r="K338" s="72" t="s">
        <v>1092</v>
      </c>
      <c r="L338" s="45"/>
    </row>
    <row r="339" spans="1:12" s="389" customFormat="1" ht="14.25">
      <c r="A339" s="72"/>
      <c r="B339" s="72"/>
      <c r="C339" s="104">
        <v>0</v>
      </c>
      <c r="D339" s="45" t="s">
        <v>1040</v>
      </c>
      <c r="E339" s="171" t="str">
        <f>HLOOKUP($B$146,$I$281:$L$364,59)</f>
        <v>ZJ0407102</v>
      </c>
      <c r="F339" s="45" t="s">
        <v>352</v>
      </c>
      <c r="G339" s="72" t="s">
        <v>979</v>
      </c>
      <c r="H339" s="45" t="s">
        <v>352</v>
      </c>
      <c r="I339" s="72" t="s">
        <v>978</v>
      </c>
      <c r="J339" s="72" t="s">
        <v>644</v>
      </c>
      <c r="K339" s="72" t="s">
        <v>1092</v>
      </c>
      <c r="L339" s="45"/>
    </row>
    <row r="340" spans="1:12" s="389" customFormat="1" ht="14.25">
      <c r="A340" s="72"/>
      <c r="B340" s="72"/>
      <c r="C340" s="104">
        <v>0</v>
      </c>
      <c r="D340" s="45" t="s">
        <v>574</v>
      </c>
      <c r="E340" s="171" t="str">
        <f>HLOOKUP($B$146,$I$281:$L$364,60)</f>
        <v>ZJ0407105</v>
      </c>
      <c r="F340" s="45" t="s">
        <v>352</v>
      </c>
      <c r="G340" s="72" t="s">
        <v>979</v>
      </c>
      <c r="H340" s="45" t="s">
        <v>352</v>
      </c>
      <c r="I340" s="72" t="s">
        <v>981</v>
      </c>
      <c r="J340" s="72" t="s">
        <v>645</v>
      </c>
      <c r="K340" s="72" t="s">
        <v>1093</v>
      </c>
      <c r="L340" s="45"/>
    </row>
    <row r="341" spans="1:12" s="389" customFormat="1" ht="14.25">
      <c r="A341" s="72"/>
      <c r="B341" s="72"/>
      <c r="C341" s="104">
        <v>0</v>
      </c>
      <c r="D341" s="45" t="s">
        <v>575</v>
      </c>
      <c r="E341" s="171" t="str">
        <f>HLOOKUP($B$146,$I$281:$L$364,61)</f>
        <v>ZJ0407102</v>
      </c>
      <c r="F341" s="45" t="s">
        <v>352</v>
      </c>
      <c r="G341" s="72" t="s">
        <v>979</v>
      </c>
      <c r="H341" s="45" t="s">
        <v>352</v>
      </c>
      <c r="I341" s="72" t="s">
        <v>978</v>
      </c>
      <c r="J341" s="72" t="s">
        <v>644</v>
      </c>
      <c r="K341" s="72" t="s">
        <v>1092</v>
      </c>
      <c r="L341" s="45"/>
    </row>
    <row r="342" spans="1:12" s="389" customFormat="1" ht="14.25">
      <c r="A342" s="72"/>
      <c r="B342" s="72"/>
      <c r="C342" s="104">
        <v>0</v>
      </c>
      <c r="D342" s="45" t="s">
        <v>576</v>
      </c>
      <c r="E342" s="171" t="str">
        <f>HLOOKUP($B$146,$I$281:$L$364,62)</f>
        <v>ZJ0407105</v>
      </c>
      <c r="F342" s="45" t="s">
        <v>352</v>
      </c>
      <c r="G342" s="72" t="s">
        <v>979</v>
      </c>
      <c r="H342" s="45" t="s">
        <v>352</v>
      </c>
      <c r="I342" s="72" t="s">
        <v>981</v>
      </c>
      <c r="J342" s="72" t="s">
        <v>645</v>
      </c>
      <c r="K342" s="72" t="s">
        <v>1093</v>
      </c>
      <c r="L342" s="45"/>
    </row>
    <row r="343" spans="1:12" s="141" customFormat="1" ht="14.25">
      <c r="A343" s="72"/>
      <c r="B343" s="72"/>
      <c r="C343" s="104">
        <v>0</v>
      </c>
      <c r="D343" s="45" t="s">
        <v>1041</v>
      </c>
      <c r="E343" s="171" t="str">
        <f>HLOOKUP($B$146,$I$281:$L$364,63)</f>
        <v>ZJ0407101</v>
      </c>
      <c r="F343" s="45" t="s">
        <v>352</v>
      </c>
      <c r="G343" s="72" t="s">
        <v>1023</v>
      </c>
      <c r="H343" s="45" t="s">
        <v>352</v>
      </c>
      <c r="I343" s="72" t="s">
        <v>1022</v>
      </c>
      <c r="J343" s="72" t="s">
        <v>1022</v>
      </c>
      <c r="K343" s="72" t="s">
        <v>1095</v>
      </c>
      <c r="L343" s="45"/>
    </row>
    <row r="344" spans="1:12" s="141" customFormat="1" ht="14.25">
      <c r="A344" s="72"/>
      <c r="B344" s="72"/>
      <c r="C344" s="104">
        <v>0</v>
      </c>
      <c r="D344" s="45" t="s">
        <v>1042</v>
      </c>
      <c r="E344" s="171" t="str">
        <f>HLOOKUP($B$146,$I$281:$L$364,64)</f>
        <v>ZJ0407103</v>
      </c>
      <c r="F344" s="45" t="s">
        <v>352</v>
      </c>
      <c r="G344" s="72" t="s">
        <v>1023</v>
      </c>
      <c r="H344" s="45" t="s">
        <v>352</v>
      </c>
      <c r="I344" s="72" t="s">
        <v>1025</v>
      </c>
      <c r="J344" s="72" t="s">
        <v>1025</v>
      </c>
      <c r="K344" s="72" t="s">
        <v>1096</v>
      </c>
      <c r="L344" s="45"/>
    </row>
    <row r="345" spans="1:12" s="141" customFormat="1" ht="14.25">
      <c r="A345" s="72"/>
      <c r="B345" s="72"/>
      <c r="C345" s="104">
        <v>0</v>
      </c>
      <c r="D345" s="45" t="s">
        <v>1043</v>
      </c>
      <c r="E345" s="171" t="str">
        <f>HLOOKUP($B$146,$I$281:$L$364,65)</f>
        <v>ZJ0407101</v>
      </c>
      <c r="F345" s="45" t="s">
        <v>352</v>
      </c>
      <c r="G345" s="72" t="s">
        <v>1023</v>
      </c>
      <c r="H345" s="45" t="s">
        <v>352</v>
      </c>
      <c r="I345" s="72" t="s">
        <v>1022</v>
      </c>
      <c r="J345" s="72" t="s">
        <v>1022</v>
      </c>
      <c r="K345" s="72" t="s">
        <v>1095</v>
      </c>
      <c r="L345" s="45"/>
    </row>
    <row r="346" spans="1:12" s="141" customFormat="1" ht="14.25">
      <c r="A346" s="72"/>
      <c r="B346" s="72"/>
      <c r="C346" s="104">
        <v>0</v>
      </c>
      <c r="D346" s="45" t="s">
        <v>1044</v>
      </c>
      <c r="E346" s="171" t="str">
        <f>HLOOKUP($B$146,$I$281:$L$364,66)</f>
        <v>ZJ0407103</v>
      </c>
      <c r="F346" s="45" t="s">
        <v>352</v>
      </c>
      <c r="G346" s="72" t="s">
        <v>1023</v>
      </c>
      <c r="H346" s="45" t="s">
        <v>352</v>
      </c>
      <c r="I346" s="72" t="s">
        <v>1025</v>
      </c>
      <c r="J346" s="72" t="s">
        <v>1025</v>
      </c>
      <c r="K346" s="72" t="s">
        <v>1096</v>
      </c>
      <c r="L346" s="45"/>
    </row>
    <row r="347" spans="1:12" s="141" customFormat="1" ht="14.25">
      <c r="A347" s="72"/>
      <c r="B347" s="72"/>
      <c r="C347" s="104">
        <v>0</v>
      </c>
      <c r="D347" s="45" t="s">
        <v>98</v>
      </c>
      <c r="E347" s="171" t="str">
        <f>HLOOKUP($B$146,$I$281:$L$364,67)</f>
        <v>ZJ0407101</v>
      </c>
      <c r="F347" s="45" t="s">
        <v>352</v>
      </c>
      <c r="G347" s="72" t="s">
        <v>1023</v>
      </c>
      <c r="H347" s="45" t="s">
        <v>352</v>
      </c>
      <c r="I347" s="72" t="s">
        <v>1022</v>
      </c>
      <c r="J347" s="72" t="s">
        <v>1022</v>
      </c>
      <c r="K347" s="72" t="s">
        <v>1095</v>
      </c>
      <c r="L347" s="45"/>
    </row>
    <row r="348" spans="1:12" s="141" customFormat="1" ht="14.25">
      <c r="A348" s="72"/>
      <c r="B348" s="72"/>
      <c r="C348" s="104">
        <v>0</v>
      </c>
      <c r="D348" s="45" t="s">
        <v>132</v>
      </c>
      <c r="E348" s="171" t="str">
        <f>HLOOKUP($B$146,$I$281:$L$364,68)</f>
        <v>ZJ0407101</v>
      </c>
      <c r="F348" s="45" t="s">
        <v>352</v>
      </c>
      <c r="G348" s="72" t="s">
        <v>1023</v>
      </c>
      <c r="H348" s="45" t="s">
        <v>352</v>
      </c>
      <c r="I348" s="72" t="s">
        <v>1022</v>
      </c>
      <c r="J348" s="72" t="s">
        <v>1022</v>
      </c>
      <c r="K348" s="72" t="s">
        <v>1095</v>
      </c>
      <c r="L348" s="45"/>
    </row>
    <row r="349" spans="1:12" s="141" customFormat="1" ht="14.25">
      <c r="A349" s="72"/>
      <c r="B349" s="72"/>
      <c r="C349" s="104">
        <v>0</v>
      </c>
      <c r="D349" s="45" t="s">
        <v>133</v>
      </c>
      <c r="E349" s="171" t="str">
        <f>HLOOKUP($B$146,$I$281:$L$364,69)</f>
        <v>ZJ0407101</v>
      </c>
      <c r="F349" s="45" t="s">
        <v>352</v>
      </c>
      <c r="G349" s="72" t="s">
        <v>1023</v>
      </c>
      <c r="H349" s="45" t="s">
        <v>352</v>
      </c>
      <c r="I349" s="72" t="s">
        <v>1022</v>
      </c>
      <c r="J349" s="72" t="s">
        <v>1022</v>
      </c>
      <c r="K349" s="72" t="s">
        <v>1095</v>
      </c>
      <c r="L349" s="45"/>
    </row>
    <row r="350" spans="1:12" s="141" customFormat="1" ht="14.25">
      <c r="A350" s="72"/>
      <c r="B350" s="72"/>
      <c r="C350" s="104">
        <v>0</v>
      </c>
      <c r="D350" s="45" t="s">
        <v>1045</v>
      </c>
      <c r="E350" s="171" t="str">
        <f>HLOOKUP($B$146,$I$281:$L$364,70)</f>
        <v>ZJ0407101</v>
      </c>
      <c r="F350" s="45" t="s">
        <v>352</v>
      </c>
      <c r="G350" s="72" t="s">
        <v>1023</v>
      </c>
      <c r="H350" s="45" t="s">
        <v>352</v>
      </c>
      <c r="I350" s="72" t="s">
        <v>1022</v>
      </c>
      <c r="J350" s="72" t="s">
        <v>1022</v>
      </c>
      <c r="K350" s="72" t="s">
        <v>1095</v>
      </c>
      <c r="L350" s="45"/>
    </row>
    <row r="351" spans="1:12" s="141" customFormat="1" ht="14.25">
      <c r="A351" s="72"/>
      <c r="B351" s="72"/>
      <c r="C351" s="104">
        <v>0</v>
      </c>
      <c r="D351" s="45" t="s">
        <v>1046</v>
      </c>
      <c r="E351" s="171" t="str">
        <f>HLOOKUP($B$146,$I$281:$L$364,71)</f>
        <v>ZJ0407101</v>
      </c>
      <c r="F351" s="45" t="s">
        <v>352</v>
      </c>
      <c r="G351" s="72" t="s">
        <v>1023</v>
      </c>
      <c r="H351" s="45" t="s">
        <v>352</v>
      </c>
      <c r="I351" s="72" t="s">
        <v>1022</v>
      </c>
      <c r="J351" s="72" t="s">
        <v>1022</v>
      </c>
      <c r="K351" s="72" t="s">
        <v>1095</v>
      </c>
      <c r="L351" s="45"/>
    </row>
    <row r="352" spans="1:12" s="141" customFormat="1" ht="14.25">
      <c r="A352" s="72"/>
      <c r="B352" s="72"/>
      <c r="C352" s="104">
        <v>0</v>
      </c>
      <c r="D352" s="45" t="s">
        <v>1047</v>
      </c>
      <c r="E352" s="171" t="str">
        <f>HLOOKUP($B$146,$I$281:$L$364,72)</f>
        <v>ZJ0407101</v>
      </c>
      <c r="F352" s="45" t="s">
        <v>352</v>
      </c>
      <c r="G352" s="72" t="s">
        <v>1023</v>
      </c>
      <c r="H352" s="45" t="s">
        <v>352</v>
      </c>
      <c r="I352" s="72" t="s">
        <v>1022</v>
      </c>
      <c r="J352" s="72" t="s">
        <v>1022</v>
      </c>
      <c r="K352" s="72" t="s">
        <v>1095</v>
      </c>
      <c r="L352" s="45"/>
    </row>
    <row r="353" spans="1:12" s="141" customFormat="1" ht="14.25">
      <c r="A353" s="72"/>
      <c r="B353" s="72"/>
      <c r="C353" s="104">
        <v>0</v>
      </c>
      <c r="D353" s="45" t="s">
        <v>1048</v>
      </c>
      <c r="E353" s="171" t="str">
        <f>HLOOKUP($B$146,$I$281:$L$364,73)</f>
        <v>ZJ0407103</v>
      </c>
      <c r="F353" s="45" t="s">
        <v>352</v>
      </c>
      <c r="G353" s="72" t="s">
        <v>1023</v>
      </c>
      <c r="H353" s="45" t="s">
        <v>352</v>
      </c>
      <c r="I353" s="72" t="s">
        <v>1025</v>
      </c>
      <c r="J353" s="72" t="s">
        <v>1025</v>
      </c>
      <c r="K353" s="72" t="s">
        <v>1096</v>
      </c>
      <c r="L353" s="45"/>
    </row>
    <row r="354" spans="1:12" s="141" customFormat="1" ht="14.25">
      <c r="A354" s="72"/>
      <c r="B354" s="72"/>
      <c r="C354" s="104">
        <v>0</v>
      </c>
      <c r="D354" s="45" t="s">
        <v>1049</v>
      </c>
      <c r="E354" s="171" t="str">
        <f>HLOOKUP($B$146,$I$281:$L$364,74)</f>
        <v>ZJ0407101</v>
      </c>
      <c r="F354" s="45" t="s">
        <v>352</v>
      </c>
      <c r="G354" s="72" t="s">
        <v>1023</v>
      </c>
      <c r="H354" s="45" t="s">
        <v>352</v>
      </c>
      <c r="I354" s="72" t="s">
        <v>1022</v>
      </c>
      <c r="J354" s="72" t="s">
        <v>1022</v>
      </c>
      <c r="K354" s="72" t="s">
        <v>1095</v>
      </c>
      <c r="L354" s="45"/>
    </row>
    <row r="355" spans="1:12" s="141" customFormat="1" ht="14.25">
      <c r="A355" s="72"/>
      <c r="B355" s="72"/>
      <c r="C355" s="104">
        <v>0</v>
      </c>
      <c r="D355" s="45" t="s">
        <v>1050</v>
      </c>
      <c r="E355" s="171" t="str">
        <f>HLOOKUP($B$146,$I$281:$L$364,75)</f>
        <v>ZJ0407103</v>
      </c>
      <c r="F355" s="45" t="s">
        <v>352</v>
      </c>
      <c r="G355" s="72" t="s">
        <v>1023</v>
      </c>
      <c r="H355" s="45" t="s">
        <v>352</v>
      </c>
      <c r="I355" s="72" t="s">
        <v>1025</v>
      </c>
      <c r="J355" s="72" t="s">
        <v>1025</v>
      </c>
      <c r="K355" s="72" t="s">
        <v>1096</v>
      </c>
      <c r="L355" s="45"/>
    </row>
    <row r="356" spans="1:12" s="141" customFormat="1" ht="14.25">
      <c r="A356" s="72"/>
      <c r="B356" s="72"/>
      <c r="C356" s="104">
        <v>0</v>
      </c>
      <c r="D356" s="45" t="s">
        <v>1051</v>
      </c>
      <c r="E356" s="171" t="str">
        <f>HLOOKUP($B$146,$I$281:$L$364,76)</f>
        <v>ZJ0407106</v>
      </c>
      <c r="F356" s="45" t="s">
        <v>352</v>
      </c>
      <c r="G356" s="72" t="s">
        <v>1023</v>
      </c>
      <c r="H356" s="45" t="s">
        <v>352</v>
      </c>
      <c r="I356" s="72" t="s">
        <v>1052</v>
      </c>
      <c r="J356" s="72" t="s">
        <v>1052</v>
      </c>
      <c r="K356" s="72" t="s">
        <v>1097</v>
      </c>
      <c r="L356" s="45"/>
    </row>
    <row r="357" spans="1:12" s="141" customFormat="1" ht="14.25">
      <c r="A357" s="72"/>
      <c r="B357" s="72"/>
      <c r="C357" s="104">
        <v>0</v>
      </c>
      <c r="D357" s="45" t="s">
        <v>1053</v>
      </c>
      <c r="E357" s="171" t="str">
        <f>HLOOKUP($B$146,$I$281:$L$364,77)</f>
        <v>ZJ0407106</v>
      </c>
      <c r="F357" s="45" t="s">
        <v>352</v>
      </c>
      <c r="G357" s="72" t="s">
        <v>1023</v>
      </c>
      <c r="H357" s="45" t="s">
        <v>352</v>
      </c>
      <c r="I357" s="72" t="s">
        <v>1052</v>
      </c>
      <c r="J357" s="72" t="s">
        <v>1052</v>
      </c>
      <c r="K357" s="72" t="s">
        <v>1097</v>
      </c>
      <c r="L357" s="45"/>
    </row>
    <row r="358" spans="1:12" s="141" customFormat="1" ht="14.25">
      <c r="A358" s="72"/>
      <c r="B358" s="72"/>
      <c r="C358" s="104">
        <v>0</v>
      </c>
      <c r="D358" s="45" t="s">
        <v>1054</v>
      </c>
      <c r="E358" s="171" t="str">
        <f>HLOOKUP($B$146,$I$281:$L$364,78)</f>
        <v>ZJ0407106</v>
      </c>
      <c r="F358" s="45" t="s">
        <v>352</v>
      </c>
      <c r="G358" s="72" t="s">
        <v>1023</v>
      </c>
      <c r="H358" s="45" t="s">
        <v>352</v>
      </c>
      <c r="I358" s="72" t="s">
        <v>1052</v>
      </c>
      <c r="J358" s="72" t="s">
        <v>1052</v>
      </c>
      <c r="K358" s="72" t="s">
        <v>1097</v>
      </c>
      <c r="L358" s="45"/>
    </row>
    <row r="359" spans="1:12" s="141" customFormat="1" ht="14.25">
      <c r="A359" s="233"/>
      <c r="B359" s="72"/>
      <c r="C359" s="104">
        <v>0</v>
      </c>
      <c r="D359" s="45" t="s">
        <v>1055</v>
      </c>
      <c r="E359" s="171" t="str">
        <f>HLOOKUP($B$146,$I$281:$L$364,79)</f>
        <v>ZJ0407102</v>
      </c>
      <c r="F359" s="45" t="s">
        <v>352</v>
      </c>
      <c r="G359" s="72" t="s">
        <v>991</v>
      </c>
      <c r="H359" s="45" t="s">
        <v>352</v>
      </c>
      <c r="I359" s="72" t="s">
        <v>978</v>
      </c>
      <c r="J359" s="72" t="s">
        <v>644</v>
      </c>
      <c r="K359" s="72" t="s">
        <v>1092</v>
      </c>
      <c r="L359" s="45"/>
    </row>
    <row r="360" spans="1:12" s="141" customFormat="1" ht="14.25">
      <c r="A360" s="233"/>
      <c r="B360" s="72"/>
      <c r="C360" s="104">
        <v>0</v>
      </c>
      <c r="D360" s="45" t="s">
        <v>1055</v>
      </c>
      <c r="E360" s="171" t="str">
        <f>HLOOKUP($B$146,$I$281:$L$364,80)</f>
        <v>ZJ0407102</v>
      </c>
      <c r="F360" s="45" t="s">
        <v>352</v>
      </c>
      <c r="G360" s="72" t="s">
        <v>991</v>
      </c>
      <c r="H360" s="45" t="s">
        <v>352</v>
      </c>
      <c r="I360" s="72" t="s">
        <v>978</v>
      </c>
      <c r="J360" s="72" t="s">
        <v>644</v>
      </c>
      <c r="K360" s="72" t="s">
        <v>1092</v>
      </c>
      <c r="L360" s="45"/>
    </row>
    <row r="361" spans="1:12" ht="14.25">
      <c r="A361" s="72"/>
      <c r="B361" s="72"/>
      <c r="C361" s="104">
        <v>0</v>
      </c>
      <c r="D361" s="45" t="s">
        <v>1056</v>
      </c>
      <c r="E361" s="171" t="str">
        <f>HLOOKUP($B$146,$I$281:$L$364,81)</f>
        <v>ZJ0407102</v>
      </c>
      <c r="F361" s="45" t="s">
        <v>352</v>
      </c>
      <c r="G361" s="72" t="s">
        <v>991</v>
      </c>
      <c r="H361" s="45" t="s">
        <v>352</v>
      </c>
      <c r="I361" s="72" t="s">
        <v>978</v>
      </c>
      <c r="J361" s="72" t="s">
        <v>644</v>
      </c>
      <c r="K361" s="72" t="s">
        <v>1092</v>
      </c>
      <c r="L361" s="45"/>
    </row>
    <row r="362" spans="1:12" s="141" customFormat="1" ht="14.25">
      <c r="A362" s="233"/>
      <c r="B362" s="72"/>
      <c r="C362" s="104">
        <v>0</v>
      </c>
      <c r="D362" s="45" t="s">
        <v>249</v>
      </c>
      <c r="E362" s="171" t="str">
        <f>HLOOKUP($B$146,$I$281:$L$364,82)</f>
        <v>ZJ0407102</v>
      </c>
      <c r="F362" s="45" t="s">
        <v>352</v>
      </c>
      <c r="G362" s="72" t="s">
        <v>991</v>
      </c>
      <c r="H362" s="45" t="s">
        <v>352</v>
      </c>
      <c r="I362" s="72" t="s">
        <v>978</v>
      </c>
      <c r="J362" s="72" t="s">
        <v>644</v>
      </c>
      <c r="K362" s="72" t="s">
        <v>1092</v>
      </c>
      <c r="L362" s="45"/>
    </row>
    <row r="363" spans="1:12" s="141" customFormat="1" ht="14.25">
      <c r="A363" s="233"/>
      <c r="B363" s="72"/>
      <c r="C363" s="104">
        <v>0</v>
      </c>
      <c r="D363" s="45" t="s">
        <v>249</v>
      </c>
      <c r="E363" s="171" t="str">
        <f>HLOOKUP($B$146,$I$281:$L$364,83)</f>
        <v>ZJ0407102</v>
      </c>
      <c r="F363" s="45" t="s">
        <v>352</v>
      </c>
      <c r="G363" s="72" t="s">
        <v>991</v>
      </c>
      <c r="H363" s="45" t="s">
        <v>352</v>
      </c>
      <c r="I363" s="72" t="s">
        <v>978</v>
      </c>
      <c r="J363" s="72" t="s">
        <v>644</v>
      </c>
      <c r="K363" s="72" t="s">
        <v>1092</v>
      </c>
      <c r="L363" s="45"/>
    </row>
    <row r="364" spans="1:12" ht="14.25">
      <c r="A364" s="72"/>
      <c r="B364" s="72"/>
      <c r="C364" s="104">
        <v>0</v>
      </c>
      <c r="D364" s="45" t="s">
        <v>250</v>
      </c>
      <c r="E364" s="171" t="str">
        <f>HLOOKUP($B$146,$I$281:$L$364,84)</f>
        <v>ZJ0407102</v>
      </c>
      <c r="F364" s="45" t="s">
        <v>352</v>
      </c>
      <c r="G364" s="72" t="s">
        <v>991</v>
      </c>
      <c r="H364" s="45" t="s">
        <v>352</v>
      </c>
      <c r="I364" s="72" t="s">
        <v>978</v>
      </c>
      <c r="J364" s="72" t="s">
        <v>644</v>
      </c>
      <c r="K364" s="72" t="s">
        <v>1092</v>
      </c>
      <c r="L364" s="45"/>
    </row>
    <row r="365" spans="1:11" ht="15">
      <c r="A365" s="96"/>
      <c r="B365" s="13"/>
      <c r="C365" s="292"/>
      <c r="D365" s="13"/>
      <c r="E365" s="15"/>
      <c r="F365" s="70"/>
      <c r="G365" s="70"/>
      <c r="H365" s="70"/>
      <c r="I365" s="70"/>
      <c r="J365" s="70"/>
      <c r="K365" s="76"/>
    </row>
    <row r="366" spans="1:11" ht="15">
      <c r="A366" s="96"/>
      <c r="B366" s="13"/>
      <c r="C366" s="13"/>
      <c r="D366" s="13"/>
      <c r="E366" s="15"/>
      <c r="F366" s="70"/>
      <c r="G366" s="70"/>
      <c r="H366" s="70"/>
      <c r="I366" s="70"/>
      <c r="J366" s="70"/>
      <c r="K366" s="76"/>
    </row>
    <row r="367" spans="1:12" ht="15">
      <c r="A367" s="81" t="s">
        <v>1057</v>
      </c>
      <c r="B367" s="112"/>
      <c r="C367" s="37" t="str">
        <f>Nomenclature!$N$5</f>
        <v>*</v>
      </c>
      <c r="D367" s="45" t="s">
        <v>352</v>
      </c>
      <c r="E367" s="45" t="s">
        <v>354</v>
      </c>
      <c r="F367" s="45" t="s">
        <v>356</v>
      </c>
      <c r="G367" s="45" t="s">
        <v>348</v>
      </c>
      <c r="H367" s="45" t="s">
        <v>346</v>
      </c>
      <c r="I367" s="45" t="s">
        <v>344</v>
      </c>
      <c r="J367" s="45" t="s">
        <v>362</v>
      </c>
      <c r="K367" s="45" t="s">
        <v>364</v>
      </c>
      <c r="L367" s="45" t="s">
        <v>367</v>
      </c>
    </row>
    <row r="368" spans="1:12" ht="14.25">
      <c r="A368" s="96"/>
      <c r="B368" s="13"/>
      <c r="C368" s="13"/>
      <c r="D368" s="45">
        <v>0</v>
      </c>
      <c r="E368" s="45">
        <v>10</v>
      </c>
      <c r="F368" s="45">
        <v>20</v>
      </c>
      <c r="G368" s="45">
        <v>30</v>
      </c>
      <c r="H368" s="45">
        <v>40</v>
      </c>
      <c r="I368" s="45">
        <v>50</v>
      </c>
      <c r="J368" s="45">
        <v>70</v>
      </c>
      <c r="K368" s="45">
        <v>80</v>
      </c>
      <c r="L368" s="45">
        <v>90</v>
      </c>
    </row>
    <row r="369" spans="1:12" ht="14.25">
      <c r="A369" s="96"/>
      <c r="B369" s="13"/>
      <c r="C369" s="13"/>
      <c r="D369" s="181" t="s">
        <v>636</v>
      </c>
      <c r="E369" s="181" t="s">
        <v>655</v>
      </c>
      <c r="F369" s="181" t="s">
        <v>655</v>
      </c>
      <c r="G369" s="181" t="s">
        <v>676</v>
      </c>
      <c r="H369" s="181" t="s">
        <v>676</v>
      </c>
      <c r="I369" s="181" t="s">
        <v>655</v>
      </c>
      <c r="J369" s="181" t="s">
        <v>655</v>
      </c>
      <c r="K369" s="181" t="s">
        <v>676</v>
      </c>
      <c r="L369" s="181" t="s">
        <v>676</v>
      </c>
    </row>
    <row r="370" spans="1:12" ht="14.25">
      <c r="A370" s="96"/>
      <c r="B370" s="13"/>
      <c r="C370" s="13"/>
      <c r="D370" s="181" t="s">
        <v>636</v>
      </c>
      <c r="E370" s="45" t="s">
        <v>1058</v>
      </c>
      <c r="F370" s="45" t="s">
        <v>1058</v>
      </c>
      <c r="G370" s="45" t="s">
        <v>1058</v>
      </c>
      <c r="H370" s="45" t="s">
        <v>1058</v>
      </c>
      <c r="I370" s="45" t="s">
        <v>1058</v>
      </c>
      <c r="J370" s="45" t="s">
        <v>1058</v>
      </c>
      <c r="K370" s="45" t="s">
        <v>1059</v>
      </c>
      <c r="L370" s="45" t="s">
        <v>1059</v>
      </c>
    </row>
    <row r="371" spans="1:12" ht="14.25">
      <c r="A371" s="96"/>
      <c r="B371" s="13"/>
      <c r="C371" s="13"/>
      <c r="D371" s="181" t="s">
        <v>636</v>
      </c>
      <c r="E371" s="181" t="s">
        <v>675</v>
      </c>
      <c r="F371" s="181" t="s">
        <v>675</v>
      </c>
      <c r="G371" s="181" t="s">
        <v>675</v>
      </c>
      <c r="H371" s="181" t="s">
        <v>675</v>
      </c>
      <c r="I371" s="181">
        <v>5</v>
      </c>
      <c r="J371" s="181" t="s">
        <v>675</v>
      </c>
      <c r="K371" s="181" t="s">
        <v>675</v>
      </c>
      <c r="L371" s="181" t="s">
        <v>655</v>
      </c>
    </row>
    <row r="372" spans="1:12" ht="14.25">
      <c r="A372" s="96"/>
      <c r="B372" s="13"/>
      <c r="C372" s="13"/>
      <c r="D372" s="181" t="s">
        <v>636</v>
      </c>
      <c r="E372" s="45" t="s">
        <v>1060</v>
      </c>
      <c r="F372" s="45" t="s">
        <v>1061</v>
      </c>
      <c r="G372" s="45" t="s">
        <v>1060</v>
      </c>
      <c r="H372" s="45" t="s">
        <v>1061</v>
      </c>
      <c r="I372" s="45" t="s">
        <v>1059</v>
      </c>
      <c r="J372" s="45" t="s">
        <v>1062</v>
      </c>
      <c r="K372" s="45" t="s">
        <v>1062</v>
      </c>
      <c r="L372" s="45" t="s">
        <v>1063</v>
      </c>
    </row>
    <row r="373" spans="1:11" ht="15">
      <c r="A373" s="62" t="s">
        <v>1064</v>
      </c>
      <c r="B373" s="70"/>
      <c r="C373" s="17"/>
      <c r="D373" s="17"/>
      <c r="E373" s="17"/>
      <c r="F373" s="17"/>
      <c r="G373" s="17"/>
      <c r="H373" s="17"/>
      <c r="I373" s="17"/>
      <c r="J373" s="17"/>
      <c r="K373" s="76"/>
    </row>
    <row r="374" spans="1:11" ht="15">
      <c r="A374" s="45" t="s">
        <v>1065</v>
      </c>
      <c r="B374" s="45"/>
      <c r="C374" s="110">
        <f>IF(Nomenclature!$E$5="E",10000,IF(Nomenclature!$E$5="G",20000,0))</f>
        <v>0</v>
      </c>
      <c r="D374" s="300" t="s">
        <v>1066</v>
      </c>
      <c r="E374" s="70"/>
      <c r="F374" s="70"/>
      <c r="G374" s="70"/>
      <c r="H374" s="70"/>
      <c r="I374" s="70"/>
      <c r="J374" s="70"/>
      <c r="K374" s="76"/>
    </row>
    <row r="375" spans="1:11" ht="15">
      <c r="A375" s="45" t="s">
        <v>1067</v>
      </c>
      <c r="B375" s="45"/>
      <c r="C375" s="107">
        <f>IF(Nomenclature!$G$5="1",1000,IF(Nomenclature!$G$5="2",2000,0))</f>
        <v>0</v>
      </c>
      <c r="D375" s="300" t="s">
        <v>1068</v>
      </c>
      <c r="E375" s="70"/>
      <c r="F375" s="70"/>
      <c r="G375" s="70"/>
      <c r="H375" s="70"/>
      <c r="I375" s="70"/>
      <c r="J375" s="70"/>
      <c r="K375" s="76"/>
    </row>
    <row r="376" spans="1:11" ht="15">
      <c r="A376" s="45" t="s">
        <v>422</v>
      </c>
      <c r="B376" s="45"/>
      <c r="C376" s="108">
        <f>IF(Nomenclature!$H$5="1",100,IF(Nomenclature!$H$5="2",200,IF(Nomenclature!$H$5="4",300,IF(Nomenclature!$H$5="5",500,0))))</f>
        <v>0</v>
      </c>
      <c r="D376" s="300" t="s">
        <v>1069</v>
      </c>
      <c r="E376" s="70"/>
      <c r="F376" s="70"/>
      <c r="G376" s="70"/>
      <c r="H376" s="70"/>
      <c r="I376" s="70"/>
      <c r="J376" s="70"/>
      <c r="K376" s="76"/>
    </row>
    <row r="377" spans="1:11" ht="29.25">
      <c r="A377" s="101" t="s">
        <v>1070</v>
      </c>
      <c r="B377" s="45"/>
      <c r="C377" s="174" t="e">
        <f>IF($C$1=4,60,HLOOKUP($C$367,$D$367:$L$368,2))</f>
        <v>#N/A</v>
      </c>
      <c r="D377" s="305" t="s">
        <v>1071</v>
      </c>
      <c r="E377" s="304"/>
      <c r="F377" s="304"/>
      <c r="G377" s="70"/>
      <c r="H377" s="70"/>
      <c r="I377" s="70"/>
      <c r="J377" s="70"/>
      <c r="K377" s="76"/>
    </row>
    <row r="378" spans="1:11" ht="15">
      <c r="A378" s="45" t="s">
        <v>368</v>
      </c>
      <c r="B378" s="45"/>
      <c r="C378" s="109">
        <f>IF(Nomenclature!$M$5="1",1,IF(Nomenclature!$M$5="4",4,0))</f>
        <v>0</v>
      </c>
      <c r="D378" s="300" t="s">
        <v>1072</v>
      </c>
      <c r="E378" s="70"/>
      <c r="F378" s="70"/>
      <c r="G378" s="70"/>
      <c r="H378" s="70"/>
      <c r="I378" s="70"/>
      <c r="J378" s="70"/>
      <c r="K378" s="76"/>
    </row>
    <row r="379" spans="1:10" ht="15">
      <c r="A379" s="72" t="s">
        <v>1073</v>
      </c>
      <c r="B379" s="72"/>
      <c r="C379" s="104">
        <v>0</v>
      </c>
      <c r="D379" s="106">
        <v>1261</v>
      </c>
      <c r="E379" s="72" t="s">
        <v>1074</v>
      </c>
      <c r="F379" s="316" t="s">
        <v>154</v>
      </c>
      <c r="G379" s="315"/>
      <c r="H379" s="315"/>
      <c r="I379" s="70"/>
      <c r="J379" s="76"/>
    </row>
    <row r="380" spans="1:10" ht="15">
      <c r="A380" s="72" t="s">
        <v>1075</v>
      </c>
      <c r="B380" s="72"/>
      <c r="C380" s="104">
        <v>0</v>
      </c>
      <c r="D380" s="106">
        <v>1264</v>
      </c>
      <c r="E380" s="72" t="s">
        <v>1076</v>
      </c>
      <c r="F380" s="316" t="s">
        <v>155</v>
      </c>
      <c r="G380" s="315"/>
      <c r="H380" s="315"/>
      <c r="I380" s="70"/>
      <c r="J380" s="76"/>
    </row>
    <row r="381" spans="1:10" ht="15">
      <c r="A381" s="72" t="s">
        <v>1077</v>
      </c>
      <c r="B381" s="72"/>
      <c r="C381" s="104">
        <v>0</v>
      </c>
      <c r="D381" s="106">
        <v>1361</v>
      </c>
      <c r="E381" s="72" t="s">
        <v>1078</v>
      </c>
      <c r="F381" s="316" t="s">
        <v>156</v>
      </c>
      <c r="G381" s="315"/>
      <c r="H381" s="315"/>
      <c r="I381" s="70"/>
      <c r="J381" s="76"/>
    </row>
    <row r="382" spans="1:10" ht="15">
      <c r="A382" s="72" t="s">
        <v>1079</v>
      </c>
      <c r="B382" s="72"/>
      <c r="C382" s="104">
        <v>0</v>
      </c>
      <c r="D382" s="106">
        <v>1364</v>
      </c>
      <c r="E382" s="72" t="s">
        <v>1080</v>
      </c>
      <c r="F382" s="316" t="s">
        <v>157</v>
      </c>
      <c r="G382" s="315"/>
      <c r="H382" s="315"/>
      <c r="I382" s="70"/>
      <c r="J382" s="76"/>
    </row>
    <row r="383" spans="1:10" ht="15">
      <c r="A383" s="72" t="s">
        <v>1081</v>
      </c>
      <c r="B383" s="105"/>
      <c r="C383" s="104">
        <v>0</v>
      </c>
      <c r="D383" s="106">
        <v>11111</v>
      </c>
      <c r="E383" s="72" t="s">
        <v>1082</v>
      </c>
      <c r="F383" s="316" t="s">
        <v>158</v>
      </c>
      <c r="G383" s="315"/>
      <c r="H383" s="315"/>
      <c r="I383" s="70"/>
      <c r="J383" s="76"/>
    </row>
    <row r="384" spans="1:10" ht="15">
      <c r="A384" s="72" t="s">
        <v>1083</v>
      </c>
      <c r="B384" s="72"/>
      <c r="C384" s="104">
        <v>0</v>
      </c>
      <c r="D384" s="106">
        <v>11114</v>
      </c>
      <c r="E384" s="72" t="s">
        <v>1084</v>
      </c>
      <c r="F384" s="316" t="s">
        <v>159</v>
      </c>
      <c r="G384" s="315"/>
      <c r="H384" s="315"/>
      <c r="I384" s="70"/>
      <c r="J384" s="76"/>
    </row>
    <row r="385" spans="1:10" ht="15">
      <c r="A385" s="72" t="s">
        <v>1085</v>
      </c>
      <c r="B385" s="72"/>
      <c r="C385" s="104">
        <v>0</v>
      </c>
      <c r="D385" s="106">
        <v>11121</v>
      </c>
      <c r="E385" s="72" t="s">
        <v>1086</v>
      </c>
      <c r="F385" s="316" t="s">
        <v>160</v>
      </c>
      <c r="G385" s="315"/>
      <c r="H385" s="315"/>
      <c r="I385" s="70"/>
      <c r="J385" s="76"/>
    </row>
    <row r="386" spans="1:10" ht="15">
      <c r="A386" s="72" t="s">
        <v>1087</v>
      </c>
      <c r="B386" s="72"/>
      <c r="C386" s="104">
        <v>0</v>
      </c>
      <c r="D386" s="106">
        <v>11124</v>
      </c>
      <c r="E386" s="72" t="s">
        <v>1088</v>
      </c>
      <c r="F386" s="316" t="s">
        <v>161</v>
      </c>
      <c r="G386" s="315"/>
      <c r="H386" s="315"/>
      <c r="I386" s="70"/>
      <c r="J386" s="76"/>
    </row>
    <row r="387" spans="1:10" ht="15">
      <c r="A387" s="72" t="s">
        <v>1089</v>
      </c>
      <c r="B387" s="72"/>
      <c r="C387" s="104">
        <v>0</v>
      </c>
      <c r="D387" s="106">
        <v>11131</v>
      </c>
      <c r="E387" s="72" t="s">
        <v>1090</v>
      </c>
      <c r="F387" s="316" t="s">
        <v>162</v>
      </c>
      <c r="G387" s="315"/>
      <c r="H387" s="315"/>
      <c r="I387" s="70"/>
      <c r="J387" s="76"/>
    </row>
    <row r="388" spans="1:10" ht="15">
      <c r="A388" s="72" t="s">
        <v>1091</v>
      </c>
      <c r="B388" s="72"/>
      <c r="C388" s="104">
        <v>0</v>
      </c>
      <c r="D388" s="106">
        <v>11134</v>
      </c>
      <c r="E388" s="72" t="s">
        <v>1098</v>
      </c>
      <c r="F388" s="316" t="s">
        <v>163</v>
      </c>
      <c r="G388" s="315"/>
      <c r="H388" s="315"/>
      <c r="I388" s="70"/>
      <c r="J388" s="76"/>
    </row>
    <row r="389" spans="1:10" ht="15">
      <c r="A389" s="72" t="s">
        <v>1099</v>
      </c>
      <c r="B389" s="72"/>
      <c r="C389" s="104">
        <v>0</v>
      </c>
      <c r="D389" s="106">
        <v>11141</v>
      </c>
      <c r="E389" s="72" t="s">
        <v>1100</v>
      </c>
      <c r="F389" s="316" t="s">
        <v>164</v>
      </c>
      <c r="G389" s="315"/>
      <c r="H389" s="315"/>
      <c r="I389" s="70"/>
      <c r="J389" s="76"/>
    </row>
    <row r="390" spans="1:10" ht="15">
      <c r="A390" s="72" t="s">
        <v>1101</v>
      </c>
      <c r="B390" s="72"/>
      <c r="C390" s="104">
        <v>0</v>
      </c>
      <c r="D390" s="106">
        <v>11144</v>
      </c>
      <c r="E390" s="72" t="s">
        <v>1088</v>
      </c>
      <c r="F390" s="316" t="s">
        <v>165</v>
      </c>
      <c r="G390" s="315"/>
      <c r="H390" s="315"/>
      <c r="I390" s="70"/>
      <c r="J390" s="76"/>
    </row>
    <row r="391" spans="1:10" ht="15">
      <c r="A391" s="72" t="s">
        <v>1103</v>
      </c>
      <c r="B391" s="72"/>
      <c r="C391" s="104">
        <v>0</v>
      </c>
      <c r="D391" s="106">
        <v>11171</v>
      </c>
      <c r="E391" s="72" t="s">
        <v>1082</v>
      </c>
      <c r="F391" s="316" t="s">
        <v>166</v>
      </c>
      <c r="G391" s="315"/>
      <c r="H391" s="315"/>
      <c r="I391" s="70"/>
      <c r="J391" s="76"/>
    </row>
    <row r="392" spans="1:10" ht="15">
      <c r="A392" s="72" t="s">
        <v>1104</v>
      </c>
      <c r="B392" s="72"/>
      <c r="C392" s="104">
        <v>0</v>
      </c>
      <c r="D392" s="106">
        <v>11174</v>
      </c>
      <c r="E392" s="72" t="s">
        <v>1084</v>
      </c>
      <c r="F392" s="316" t="s">
        <v>167</v>
      </c>
      <c r="G392" s="315"/>
      <c r="H392" s="315"/>
      <c r="I392" s="70"/>
      <c r="J392" s="76"/>
    </row>
    <row r="393" spans="1:10" ht="15">
      <c r="A393" s="72" t="s">
        <v>1105</v>
      </c>
      <c r="B393" s="72"/>
      <c r="C393" s="104">
        <v>0</v>
      </c>
      <c r="D393" s="106">
        <v>11181</v>
      </c>
      <c r="E393" s="72" t="s">
        <v>1090</v>
      </c>
      <c r="F393" s="316" t="s">
        <v>168</v>
      </c>
      <c r="G393" s="315"/>
      <c r="H393" s="315"/>
      <c r="I393" s="70"/>
      <c r="J393" s="76"/>
    </row>
    <row r="394" spans="1:10" ht="15">
      <c r="A394" s="72" t="s">
        <v>1106</v>
      </c>
      <c r="B394" s="72"/>
      <c r="C394" s="104">
        <v>0</v>
      </c>
      <c r="D394" s="106">
        <v>11184</v>
      </c>
      <c r="E394" s="72" t="s">
        <v>1098</v>
      </c>
      <c r="F394" s="316" t="s">
        <v>169</v>
      </c>
      <c r="G394" s="315"/>
      <c r="H394" s="315"/>
      <c r="I394" s="70"/>
      <c r="J394" s="76"/>
    </row>
    <row r="395" spans="1:10" ht="15">
      <c r="A395" s="72" t="s">
        <v>1107</v>
      </c>
      <c r="B395" s="72"/>
      <c r="C395" s="104">
        <v>0</v>
      </c>
      <c r="D395" s="106">
        <v>11311</v>
      </c>
      <c r="E395" s="72" t="s">
        <v>1108</v>
      </c>
      <c r="F395" s="316" t="s">
        <v>170</v>
      </c>
      <c r="G395" s="315"/>
      <c r="H395" s="315"/>
      <c r="I395" s="70"/>
      <c r="J395" s="76"/>
    </row>
    <row r="396" spans="1:10" ht="15">
      <c r="A396" s="72" t="s">
        <v>1110</v>
      </c>
      <c r="B396" s="72"/>
      <c r="C396" s="104">
        <v>0</v>
      </c>
      <c r="D396" s="106">
        <v>11314</v>
      </c>
      <c r="E396" s="72" t="s">
        <v>1108</v>
      </c>
      <c r="F396" s="316" t="s">
        <v>171</v>
      </c>
      <c r="G396" s="315"/>
      <c r="H396" s="315"/>
      <c r="I396" s="70"/>
      <c r="J396" s="76"/>
    </row>
    <row r="397" spans="1:10" ht="15">
      <c r="A397" s="72" t="s">
        <v>1112</v>
      </c>
      <c r="B397" s="72"/>
      <c r="C397" s="104">
        <v>0</v>
      </c>
      <c r="D397" s="106">
        <v>11321</v>
      </c>
      <c r="E397" s="72" t="s">
        <v>1113</v>
      </c>
      <c r="F397" s="316" t="s">
        <v>172</v>
      </c>
      <c r="G397" s="315"/>
      <c r="H397" s="315"/>
      <c r="I397" s="70"/>
      <c r="J397" s="76"/>
    </row>
    <row r="398" spans="1:10" ht="15">
      <c r="A398" s="72" t="s">
        <v>1115</v>
      </c>
      <c r="B398" s="72"/>
      <c r="C398" s="104">
        <v>0</v>
      </c>
      <c r="D398" s="106">
        <v>11324</v>
      </c>
      <c r="E398" s="72" t="s">
        <v>1113</v>
      </c>
      <c r="F398" s="316" t="s">
        <v>173</v>
      </c>
      <c r="G398" s="315"/>
      <c r="H398" s="315"/>
      <c r="I398" s="70"/>
      <c r="J398" s="76"/>
    </row>
    <row r="399" spans="1:10" ht="15">
      <c r="A399" s="72" t="s">
        <v>1117</v>
      </c>
      <c r="B399" s="72"/>
      <c r="C399" s="104">
        <v>0</v>
      </c>
      <c r="D399" s="106">
        <v>11331</v>
      </c>
      <c r="E399" s="72" t="s">
        <v>1118</v>
      </c>
      <c r="F399" s="316" t="s">
        <v>174</v>
      </c>
      <c r="G399" s="315"/>
      <c r="H399" s="315"/>
      <c r="I399" s="70"/>
      <c r="J399" s="76"/>
    </row>
    <row r="400" spans="1:10" ht="15">
      <c r="A400" s="72" t="s">
        <v>1120</v>
      </c>
      <c r="B400" s="72"/>
      <c r="C400" s="104">
        <v>0</v>
      </c>
      <c r="D400" s="106">
        <v>11334</v>
      </c>
      <c r="E400" s="72" t="s">
        <v>1118</v>
      </c>
      <c r="F400" s="316" t="s">
        <v>175</v>
      </c>
      <c r="G400" s="315"/>
      <c r="H400" s="315"/>
      <c r="I400" s="70"/>
      <c r="J400" s="76"/>
    </row>
    <row r="401" spans="1:10" ht="15">
      <c r="A401" s="72" t="s">
        <v>1122</v>
      </c>
      <c r="B401" s="72"/>
      <c r="C401" s="104">
        <v>0</v>
      </c>
      <c r="D401" s="106">
        <v>11341</v>
      </c>
      <c r="E401" s="72" t="s">
        <v>1123</v>
      </c>
      <c r="F401" s="316" t="s">
        <v>176</v>
      </c>
      <c r="G401" s="315"/>
      <c r="H401" s="315"/>
      <c r="I401" s="70"/>
      <c r="J401" s="76"/>
    </row>
    <row r="402" spans="1:10" ht="15">
      <c r="A402" s="72" t="s">
        <v>1125</v>
      </c>
      <c r="B402" s="72"/>
      <c r="C402" s="104">
        <v>0</v>
      </c>
      <c r="D402" s="106">
        <v>11344</v>
      </c>
      <c r="E402" s="72" t="s">
        <v>1123</v>
      </c>
      <c r="F402" s="316" t="s">
        <v>177</v>
      </c>
      <c r="G402" s="315"/>
      <c r="H402" s="315"/>
      <c r="I402" s="70"/>
      <c r="J402" s="76"/>
    </row>
    <row r="403" spans="1:10" s="310" customFormat="1" ht="15">
      <c r="A403" s="306" t="s">
        <v>1127</v>
      </c>
      <c r="B403" s="306"/>
      <c r="C403" s="66">
        <v>0</v>
      </c>
      <c r="D403" s="307">
        <v>11371</v>
      </c>
      <c r="E403" s="306" t="s">
        <v>1108</v>
      </c>
      <c r="F403" s="316" t="s">
        <v>178</v>
      </c>
      <c r="G403" s="315"/>
      <c r="H403" s="315"/>
      <c r="I403" s="308"/>
      <c r="J403" s="309"/>
    </row>
    <row r="404" spans="1:10" s="310" customFormat="1" ht="15">
      <c r="A404" s="306" t="s">
        <v>1129</v>
      </c>
      <c r="B404" s="306"/>
      <c r="C404" s="66">
        <v>0</v>
      </c>
      <c r="D404" s="307">
        <v>11381</v>
      </c>
      <c r="E404" s="306" t="s">
        <v>1118</v>
      </c>
      <c r="F404" s="316" t="s">
        <v>179</v>
      </c>
      <c r="G404" s="315"/>
      <c r="H404" s="315"/>
      <c r="I404" s="308"/>
      <c r="J404" s="309"/>
    </row>
    <row r="405" spans="1:10" s="310" customFormat="1" ht="15">
      <c r="A405" s="306" t="s">
        <v>1131</v>
      </c>
      <c r="B405" s="306"/>
      <c r="C405" s="66">
        <v>0</v>
      </c>
      <c r="D405" s="307">
        <v>11391</v>
      </c>
      <c r="E405" s="306" t="s">
        <v>1132</v>
      </c>
      <c r="F405" s="316" t="s">
        <v>180</v>
      </c>
      <c r="G405" s="315"/>
      <c r="H405" s="315"/>
      <c r="I405" s="308"/>
      <c r="J405" s="309"/>
    </row>
    <row r="406" spans="1:10" ht="15">
      <c r="A406" s="72" t="s">
        <v>1134</v>
      </c>
      <c r="B406" s="72"/>
      <c r="C406" s="104">
        <v>0</v>
      </c>
      <c r="D406" s="106">
        <v>11511</v>
      </c>
      <c r="E406" s="72" t="s">
        <v>1108</v>
      </c>
      <c r="F406" s="316" t="s">
        <v>181</v>
      </c>
      <c r="G406" s="315"/>
      <c r="H406" s="315"/>
      <c r="I406" s="70"/>
      <c r="J406" s="76"/>
    </row>
    <row r="407" spans="1:10" ht="15">
      <c r="A407" s="72" t="s">
        <v>1136</v>
      </c>
      <c r="B407" s="72"/>
      <c r="C407" s="104">
        <v>0</v>
      </c>
      <c r="D407" s="106">
        <v>11514</v>
      </c>
      <c r="E407" s="72" t="s">
        <v>1108</v>
      </c>
      <c r="F407" s="316" t="s">
        <v>182</v>
      </c>
      <c r="G407" s="315"/>
      <c r="H407" s="315"/>
      <c r="I407" s="70"/>
      <c r="J407" s="76"/>
    </row>
    <row r="408" spans="1:10" ht="15">
      <c r="A408" s="72" t="s">
        <v>1139</v>
      </c>
      <c r="B408" s="72"/>
      <c r="C408" s="104">
        <v>0</v>
      </c>
      <c r="D408" s="106">
        <v>11521</v>
      </c>
      <c r="E408" s="72" t="s">
        <v>1113</v>
      </c>
      <c r="F408" s="316" t="s">
        <v>183</v>
      </c>
      <c r="G408" s="315"/>
      <c r="H408" s="315"/>
      <c r="I408" s="70"/>
      <c r="J408" s="76"/>
    </row>
    <row r="409" spans="1:10" ht="15">
      <c r="A409" s="72" t="s">
        <v>1141</v>
      </c>
      <c r="B409" s="72"/>
      <c r="C409" s="104">
        <v>0</v>
      </c>
      <c r="D409" s="106">
        <v>11524</v>
      </c>
      <c r="E409" s="72" t="s">
        <v>1113</v>
      </c>
      <c r="F409" s="316" t="s">
        <v>184</v>
      </c>
      <c r="G409" s="315"/>
      <c r="H409" s="315"/>
      <c r="I409" s="70"/>
      <c r="J409" s="76"/>
    </row>
    <row r="410" spans="1:10" ht="15">
      <c r="A410" s="72" t="s">
        <v>1143</v>
      </c>
      <c r="B410" s="72"/>
      <c r="C410" s="104">
        <v>0</v>
      </c>
      <c r="D410" s="106">
        <v>11531</v>
      </c>
      <c r="E410" s="72" t="s">
        <v>1118</v>
      </c>
      <c r="F410" s="316" t="s">
        <v>185</v>
      </c>
      <c r="G410" s="315"/>
      <c r="H410" s="315"/>
      <c r="I410" s="70"/>
      <c r="J410" s="76"/>
    </row>
    <row r="411" spans="1:10" ht="15">
      <c r="A411" s="72" t="s">
        <v>1145</v>
      </c>
      <c r="B411" s="72"/>
      <c r="C411" s="104">
        <v>0</v>
      </c>
      <c r="D411" s="106">
        <v>11534</v>
      </c>
      <c r="E411" s="72" t="s">
        <v>1118</v>
      </c>
      <c r="F411" s="316" t="s">
        <v>186</v>
      </c>
      <c r="G411" s="315"/>
      <c r="H411" s="315"/>
      <c r="I411" s="70"/>
      <c r="J411" s="76"/>
    </row>
    <row r="412" spans="1:10" ht="15">
      <c r="A412" s="72" t="s">
        <v>1147</v>
      </c>
      <c r="B412" s="72"/>
      <c r="C412" s="104">
        <v>0</v>
      </c>
      <c r="D412" s="106">
        <v>11541</v>
      </c>
      <c r="E412" s="72" t="s">
        <v>1123</v>
      </c>
      <c r="F412" s="316" t="s">
        <v>187</v>
      </c>
      <c r="G412" s="315"/>
      <c r="H412" s="315"/>
      <c r="I412" s="70"/>
      <c r="J412" s="76"/>
    </row>
    <row r="413" spans="1:10" ht="15">
      <c r="A413" s="72" t="s">
        <v>1149</v>
      </c>
      <c r="B413" s="72"/>
      <c r="C413" s="104">
        <v>0</v>
      </c>
      <c r="D413" s="106">
        <v>11544</v>
      </c>
      <c r="E413" s="72" t="s">
        <v>1123</v>
      </c>
      <c r="F413" s="316" t="s">
        <v>188</v>
      </c>
      <c r="G413" s="315"/>
      <c r="H413" s="315"/>
      <c r="I413" s="70"/>
      <c r="J413" s="76"/>
    </row>
    <row r="414" spans="1:10" ht="29.25">
      <c r="A414" s="311" t="s">
        <v>1151</v>
      </c>
      <c r="B414" s="311"/>
      <c r="C414" s="312">
        <v>0</v>
      </c>
      <c r="D414" s="313">
        <v>11571</v>
      </c>
      <c r="E414" s="314" t="s">
        <v>1108</v>
      </c>
      <c r="F414" s="316" t="s">
        <v>189</v>
      </c>
      <c r="G414" s="315"/>
      <c r="H414" s="315"/>
      <c r="I414" s="70"/>
      <c r="J414" s="76"/>
    </row>
    <row r="415" spans="1:10" ht="29.25">
      <c r="A415" s="311" t="s">
        <v>1153</v>
      </c>
      <c r="B415" s="311"/>
      <c r="C415" s="312">
        <v>0</v>
      </c>
      <c r="D415" s="313">
        <v>11574</v>
      </c>
      <c r="E415" s="314" t="s">
        <v>1108</v>
      </c>
      <c r="F415" s="316" t="s">
        <v>190</v>
      </c>
      <c r="G415" s="315"/>
      <c r="H415" s="315"/>
      <c r="I415" s="70"/>
      <c r="J415" s="76"/>
    </row>
    <row r="416" spans="1:10" ht="29.25">
      <c r="A416" s="311" t="s">
        <v>1155</v>
      </c>
      <c r="B416" s="311"/>
      <c r="C416" s="312">
        <v>0</v>
      </c>
      <c r="D416" s="313">
        <v>11581</v>
      </c>
      <c r="E416" s="314" t="s">
        <v>1118</v>
      </c>
      <c r="F416" s="316" t="s">
        <v>191</v>
      </c>
      <c r="G416" s="315"/>
      <c r="H416" s="315"/>
      <c r="I416" s="70"/>
      <c r="J416" s="76"/>
    </row>
    <row r="417" spans="1:10" ht="29.25">
      <c r="A417" s="311" t="s">
        <v>1157</v>
      </c>
      <c r="B417" s="311"/>
      <c r="C417" s="312">
        <v>0</v>
      </c>
      <c r="D417" s="313">
        <v>11584</v>
      </c>
      <c r="E417" s="314" t="s">
        <v>1118</v>
      </c>
      <c r="F417" s="316" t="s">
        <v>192</v>
      </c>
      <c r="G417" s="315"/>
      <c r="H417" s="315"/>
      <c r="I417" s="70"/>
      <c r="J417" s="76"/>
    </row>
    <row r="418" spans="1:10" ht="29.25">
      <c r="A418" s="311" t="s">
        <v>1159</v>
      </c>
      <c r="B418" s="311"/>
      <c r="C418" s="312">
        <v>0</v>
      </c>
      <c r="D418" s="313">
        <v>11591</v>
      </c>
      <c r="E418" s="314" t="s">
        <v>1132</v>
      </c>
      <c r="F418" s="316" t="s">
        <v>193</v>
      </c>
      <c r="G418" s="315"/>
      <c r="H418" s="315"/>
      <c r="I418" s="70"/>
      <c r="J418" s="76"/>
    </row>
    <row r="419" spans="1:10" ht="29.25">
      <c r="A419" s="311" t="s">
        <v>1163</v>
      </c>
      <c r="B419" s="311"/>
      <c r="C419" s="312">
        <v>0</v>
      </c>
      <c r="D419" s="313">
        <v>11594</v>
      </c>
      <c r="E419" s="314" t="s">
        <v>1132</v>
      </c>
      <c r="F419" s="316" t="s">
        <v>194</v>
      </c>
      <c r="G419" s="315"/>
      <c r="H419" s="315"/>
      <c r="I419" s="70"/>
      <c r="J419" s="76"/>
    </row>
    <row r="420" spans="1:10" ht="29.25">
      <c r="A420" s="311" t="s">
        <v>1165</v>
      </c>
      <c r="B420" s="311"/>
      <c r="C420" s="312">
        <v>0</v>
      </c>
      <c r="D420" s="313">
        <v>12311</v>
      </c>
      <c r="E420" s="314" t="s">
        <v>1166</v>
      </c>
      <c r="F420" s="316" t="s">
        <v>195</v>
      </c>
      <c r="G420" s="315"/>
      <c r="H420" s="315"/>
      <c r="I420" s="70"/>
      <c r="J420" s="76"/>
    </row>
    <row r="421" spans="1:10" ht="29.25">
      <c r="A421" s="311" t="s">
        <v>1168</v>
      </c>
      <c r="B421" s="311"/>
      <c r="C421" s="312">
        <v>0</v>
      </c>
      <c r="D421" s="313">
        <v>12314</v>
      </c>
      <c r="E421" s="314" t="s">
        <v>1169</v>
      </c>
      <c r="F421" s="316" t="s">
        <v>196</v>
      </c>
      <c r="G421" s="315"/>
      <c r="H421" s="315"/>
      <c r="I421" s="70"/>
      <c r="J421" s="76"/>
    </row>
    <row r="422" spans="1:10" s="310" customFormat="1" ht="15">
      <c r="A422" s="306" t="s">
        <v>1171</v>
      </c>
      <c r="B422" s="306"/>
      <c r="C422" s="66">
        <v>0</v>
      </c>
      <c r="D422" s="307">
        <v>12321</v>
      </c>
      <c r="E422" s="306" t="s">
        <v>1166</v>
      </c>
      <c r="F422" s="316"/>
      <c r="G422" s="315"/>
      <c r="H422" s="315"/>
      <c r="I422" s="308"/>
      <c r="J422" s="309"/>
    </row>
    <row r="423" spans="1:10" ht="29.25">
      <c r="A423" s="311" t="s">
        <v>1172</v>
      </c>
      <c r="B423" s="311"/>
      <c r="C423" s="312">
        <v>0</v>
      </c>
      <c r="D423" s="313">
        <v>12331</v>
      </c>
      <c r="E423" s="314" t="s">
        <v>1173</v>
      </c>
      <c r="F423" s="316" t="s">
        <v>197</v>
      </c>
      <c r="G423" s="315"/>
      <c r="H423" s="315"/>
      <c r="I423" s="70"/>
      <c r="J423" s="76"/>
    </row>
    <row r="424" spans="1:10" ht="29.25">
      <c r="A424" s="311" t="s">
        <v>1175</v>
      </c>
      <c r="B424" s="311"/>
      <c r="C424" s="312">
        <v>0</v>
      </c>
      <c r="D424" s="313">
        <v>12334</v>
      </c>
      <c r="E424" s="314" t="s">
        <v>1173</v>
      </c>
      <c r="F424" s="316" t="s">
        <v>198</v>
      </c>
      <c r="G424" s="315"/>
      <c r="H424" s="315"/>
      <c r="I424" s="70"/>
      <c r="J424" s="76"/>
    </row>
    <row r="425" spans="1:10" s="310" customFormat="1" ht="15">
      <c r="A425" s="306" t="s">
        <v>1177</v>
      </c>
      <c r="B425" s="306"/>
      <c r="C425" s="66">
        <v>0</v>
      </c>
      <c r="D425" s="307">
        <v>12341</v>
      </c>
      <c r="E425" s="306" t="s">
        <v>1173</v>
      </c>
      <c r="F425" s="316"/>
      <c r="G425" s="315"/>
      <c r="H425" s="315"/>
      <c r="I425" s="308"/>
      <c r="J425" s="309"/>
    </row>
    <row r="426" spans="1:10" ht="29.25">
      <c r="A426" s="311" t="s">
        <v>1178</v>
      </c>
      <c r="B426" s="311"/>
      <c r="C426" s="312">
        <v>0</v>
      </c>
      <c r="D426" s="313">
        <v>12371</v>
      </c>
      <c r="E426" s="314" t="s">
        <v>1166</v>
      </c>
      <c r="F426" s="316" t="s">
        <v>199</v>
      </c>
      <c r="G426" s="315" t="s">
        <v>230</v>
      </c>
      <c r="H426" s="315"/>
      <c r="I426" s="70"/>
      <c r="J426" s="76"/>
    </row>
    <row r="427" spans="1:10" ht="29.25">
      <c r="A427" s="311" t="s">
        <v>1181</v>
      </c>
      <c r="B427" s="311"/>
      <c r="C427" s="312">
        <v>0</v>
      </c>
      <c r="D427" s="313">
        <v>12374</v>
      </c>
      <c r="E427" s="314" t="s">
        <v>1166</v>
      </c>
      <c r="F427" s="316" t="s">
        <v>200</v>
      </c>
      <c r="G427" s="315"/>
      <c r="H427" s="315"/>
      <c r="I427" s="70"/>
      <c r="J427" s="76"/>
    </row>
    <row r="428" spans="1:10" s="141" customFormat="1" ht="29.25">
      <c r="A428" s="311" t="s">
        <v>1183</v>
      </c>
      <c r="B428" s="311"/>
      <c r="C428" s="312">
        <v>0</v>
      </c>
      <c r="D428" s="313">
        <v>12381</v>
      </c>
      <c r="E428" s="314" t="s">
        <v>1173</v>
      </c>
      <c r="F428" s="316" t="s">
        <v>201</v>
      </c>
      <c r="G428" s="315"/>
      <c r="H428" s="315"/>
      <c r="I428" s="70"/>
      <c r="J428" s="76"/>
    </row>
    <row r="429" spans="1:10" ht="29.25">
      <c r="A429" s="311" t="s">
        <v>1185</v>
      </c>
      <c r="B429" s="311"/>
      <c r="C429" s="312">
        <v>0</v>
      </c>
      <c r="D429" s="313">
        <v>12384</v>
      </c>
      <c r="E429" s="314" t="s">
        <v>1186</v>
      </c>
      <c r="F429" s="316" t="s">
        <v>202</v>
      </c>
      <c r="G429" s="315"/>
      <c r="H429" s="315"/>
      <c r="I429" s="70"/>
      <c r="J429" s="76"/>
    </row>
    <row r="430" spans="1:10" s="310" customFormat="1" ht="15">
      <c r="A430" s="306" t="s">
        <v>1127</v>
      </c>
      <c r="B430" s="306"/>
      <c r="C430" s="66">
        <v>0</v>
      </c>
      <c r="D430" s="307">
        <v>20010</v>
      </c>
      <c r="E430" s="306" t="s">
        <v>1108</v>
      </c>
      <c r="F430" s="316"/>
      <c r="G430" s="315"/>
      <c r="H430" s="315"/>
      <c r="I430" s="308"/>
      <c r="J430" s="309"/>
    </row>
    <row r="431" spans="1:10" s="310" customFormat="1" ht="15">
      <c r="A431" s="306" t="s">
        <v>1129</v>
      </c>
      <c r="B431" s="306"/>
      <c r="C431" s="66">
        <v>0</v>
      </c>
      <c r="D431" s="307">
        <v>20030</v>
      </c>
      <c r="E431" s="306" t="s">
        <v>1118</v>
      </c>
      <c r="F431" s="316"/>
      <c r="G431" s="315"/>
      <c r="H431" s="315"/>
      <c r="I431" s="308"/>
      <c r="J431" s="309"/>
    </row>
    <row r="432" spans="1:10" ht="15">
      <c r="A432" s="72" t="s">
        <v>1188</v>
      </c>
      <c r="B432" s="72"/>
      <c r="C432" s="104">
        <v>0</v>
      </c>
      <c r="D432" s="106">
        <v>20310</v>
      </c>
      <c r="E432" s="72" t="s">
        <v>1108</v>
      </c>
      <c r="F432" s="316" t="s">
        <v>203</v>
      </c>
      <c r="G432" s="315"/>
      <c r="H432" s="315"/>
      <c r="I432" s="142"/>
      <c r="J432" s="143"/>
    </row>
    <row r="433" spans="1:10" ht="15">
      <c r="A433" s="72" t="s">
        <v>1190</v>
      </c>
      <c r="B433" s="72"/>
      <c r="C433" s="104">
        <v>0</v>
      </c>
      <c r="D433" s="106">
        <v>20320</v>
      </c>
      <c r="E433" s="72" t="s">
        <v>1113</v>
      </c>
      <c r="F433" s="316" t="s">
        <v>204</v>
      </c>
      <c r="G433" s="315"/>
      <c r="H433" s="315"/>
      <c r="I433" s="70"/>
      <c r="J433" s="76"/>
    </row>
    <row r="434" spans="1:10" ht="15">
      <c r="A434" s="72" t="s">
        <v>1192</v>
      </c>
      <c r="B434" s="72"/>
      <c r="C434" s="104">
        <v>0</v>
      </c>
      <c r="D434" s="106">
        <v>20330</v>
      </c>
      <c r="E434" s="72" t="s">
        <v>1118</v>
      </c>
      <c r="F434" s="316" t="s">
        <v>205</v>
      </c>
      <c r="G434" s="315"/>
      <c r="H434" s="315"/>
      <c r="I434" s="70"/>
      <c r="J434" s="76"/>
    </row>
    <row r="435" spans="1:10" ht="15">
      <c r="A435" s="72" t="s">
        <v>3</v>
      </c>
      <c r="B435" s="72"/>
      <c r="C435" s="104">
        <v>0</v>
      </c>
      <c r="D435" s="106">
        <v>20340</v>
      </c>
      <c r="E435" s="72" t="s">
        <v>1123</v>
      </c>
      <c r="F435" s="316" t="s">
        <v>206</v>
      </c>
      <c r="G435" s="315"/>
      <c r="H435" s="315"/>
      <c r="I435" s="70"/>
      <c r="J435" s="76"/>
    </row>
    <row r="436" spans="1:10" ht="15">
      <c r="A436" s="72" t="s">
        <v>5</v>
      </c>
      <c r="B436" s="105"/>
      <c r="C436" s="104">
        <v>0</v>
      </c>
      <c r="D436" s="106">
        <v>21051</v>
      </c>
      <c r="E436" s="72" t="s">
        <v>6</v>
      </c>
      <c r="F436" s="316" t="s">
        <v>207</v>
      </c>
      <c r="G436" s="315"/>
      <c r="H436" s="315"/>
      <c r="I436" s="70"/>
      <c r="J436" s="76"/>
    </row>
    <row r="437" spans="1:10" ht="15">
      <c r="A437" s="72" t="s">
        <v>7</v>
      </c>
      <c r="B437" s="72"/>
      <c r="C437" s="104">
        <v>0</v>
      </c>
      <c r="D437" s="106">
        <v>21210</v>
      </c>
      <c r="E437" s="72" t="s">
        <v>8</v>
      </c>
      <c r="F437" s="316" t="s">
        <v>208</v>
      </c>
      <c r="G437" s="315"/>
      <c r="H437" s="315"/>
      <c r="I437" s="70"/>
      <c r="J437" s="76"/>
    </row>
    <row r="438" spans="1:10" ht="15">
      <c r="A438" s="72" t="s">
        <v>9</v>
      </c>
      <c r="B438" s="72"/>
      <c r="C438" s="104">
        <v>0</v>
      </c>
      <c r="D438" s="106">
        <v>21220</v>
      </c>
      <c r="E438" s="72" t="s">
        <v>10</v>
      </c>
      <c r="F438" s="316" t="s">
        <v>209</v>
      </c>
      <c r="G438" s="315"/>
      <c r="H438" s="315"/>
      <c r="I438" s="70"/>
      <c r="J438" s="76"/>
    </row>
    <row r="439" spans="1:10" ht="15">
      <c r="A439" s="72" t="s">
        <v>11</v>
      </c>
      <c r="B439" s="72"/>
      <c r="C439" s="104">
        <v>0</v>
      </c>
      <c r="D439" s="106">
        <v>21230</v>
      </c>
      <c r="E439" s="72" t="s">
        <v>12</v>
      </c>
      <c r="F439" s="316" t="s">
        <v>210</v>
      </c>
      <c r="G439" s="315"/>
      <c r="H439" s="315"/>
      <c r="I439" s="70"/>
      <c r="J439" s="76"/>
    </row>
    <row r="440" spans="1:10" ht="15">
      <c r="A440" s="72" t="s">
        <v>13</v>
      </c>
      <c r="B440" s="72"/>
      <c r="C440" s="104">
        <v>0</v>
      </c>
      <c r="D440" s="106">
        <v>21240</v>
      </c>
      <c r="E440" s="72" t="s">
        <v>14</v>
      </c>
      <c r="F440" s="316" t="s">
        <v>211</v>
      </c>
      <c r="G440" s="315"/>
      <c r="H440" s="315"/>
      <c r="I440" s="70"/>
      <c r="J440" s="76"/>
    </row>
    <row r="441" spans="1:10" ht="15">
      <c r="A441" s="72" t="s">
        <v>1188</v>
      </c>
      <c r="B441" s="72"/>
      <c r="C441" s="104">
        <v>0</v>
      </c>
      <c r="D441" s="106">
        <v>21310</v>
      </c>
      <c r="E441" s="72" t="s">
        <v>1108</v>
      </c>
      <c r="F441" s="316" t="s">
        <v>212</v>
      </c>
      <c r="G441" s="315" t="s">
        <v>223</v>
      </c>
      <c r="H441" s="315" t="s">
        <v>226</v>
      </c>
      <c r="I441" s="70"/>
      <c r="J441" s="76"/>
    </row>
    <row r="442" spans="1:10" ht="15">
      <c r="A442" s="72" t="s">
        <v>1190</v>
      </c>
      <c r="B442" s="72"/>
      <c r="C442" s="104">
        <v>0</v>
      </c>
      <c r="D442" s="106">
        <v>21320</v>
      </c>
      <c r="E442" s="72" t="s">
        <v>1113</v>
      </c>
      <c r="F442" s="316" t="s">
        <v>213</v>
      </c>
      <c r="G442" s="315" t="s">
        <v>224</v>
      </c>
      <c r="H442" s="315" t="s">
        <v>227</v>
      </c>
      <c r="I442" s="70"/>
      <c r="J442" s="76"/>
    </row>
    <row r="443" spans="1:10" ht="15">
      <c r="A443" s="72" t="s">
        <v>1192</v>
      </c>
      <c r="B443" s="72"/>
      <c r="C443" s="104">
        <v>0</v>
      </c>
      <c r="D443" s="106">
        <v>21330</v>
      </c>
      <c r="E443" s="72" t="s">
        <v>1118</v>
      </c>
      <c r="F443" s="316" t="s">
        <v>214</v>
      </c>
      <c r="G443" s="315" t="s">
        <v>225</v>
      </c>
      <c r="H443" s="315" t="s">
        <v>228</v>
      </c>
      <c r="I443" s="70"/>
      <c r="J443" s="76"/>
    </row>
    <row r="444" spans="1:10" ht="15">
      <c r="A444" s="72" t="s">
        <v>3</v>
      </c>
      <c r="B444" s="72"/>
      <c r="C444" s="104">
        <v>0</v>
      </c>
      <c r="D444" s="106">
        <v>21340</v>
      </c>
      <c r="E444" s="72" t="s">
        <v>1123</v>
      </c>
      <c r="F444" s="316" t="s">
        <v>215</v>
      </c>
      <c r="G444" s="315" t="s">
        <v>222</v>
      </c>
      <c r="H444" s="315" t="s">
        <v>229</v>
      </c>
      <c r="I444" s="70"/>
      <c r="J444" s="76"/>
    </row>
    <row r="445" spans="1:10" ht="15">
      <c r="A445" s="72" t="s">
        <v>5</v>
      </c>
      <c r="B445" s="72"/>
      <c r="C445" s="104">
        <v>0</v>
      </c>
      <c r="D445" s="106">
        <v>22051</v>
      </c>
      <c r="E445" s="72" t="s">
        <v>152</v>
      </c>
      <c r="F445" s="316" t="s">
        <v>216</v>
      </c>
      <c r="G445" s="315"/>
      <c r="H445" s="315"/>
      <c r="I445" s="70"/>
      <c r="J445" s="76"/>
    </row>
    <row r="446" spans="1:10" ht="15">
      <c r="A446" s="72" t="s">
        <v>1188</v>
      </c>
      <c r="B446" s="72"/>
      <c r="C446" s="104">
        <v>0</v>
      </c>
      <c r="D446" s="106">
        <v>22310</v>
      </c>
      <c r="E446" s="306" t="str">
        <f>IF($C$49=3,"ZC0411???","ZC0411003")</f>
        <v>ZC0411003</v>
      </c>
      <c r="F446" s="316" t="s">
        <v>217</v>
      </c>
      <c r="G446" s="316" t="s">
        <v>221</v>
      </c>
      <c r="H446" s="315"/>
      <c r="I446" s="70"/>
      <c r="J446" s="76"/>
    </row>
    <row r="447" spans="1:10" ht="15">
      <c r="A447" s="72" t="s">
        <v>1190</v>
      </c>
      <c r="B447" s="72"/>
      <c r="C447" s="104">
        <v>0</v>
      </c>
      <c r="D447" s="106">
        <v>22320</v>
      </c>
      <c r="E447" s="72" t="s">
        <v>1113</v>
      </c>
      <c r="F447" s="316" t="s">
        <v>218</v>
      </c>
      <c r="G447" s="315"/>
      <c r="H447" s="315"/>
      <c r="I447" s="70"/>
      <c r="J447" s="76"/>
    </row>
    <row r="448" spans="1:10" ht="15">
      <c r="A448" s="72" t="s">
        <v>1192</v>
      </c>
      <c r="B448" s="72"/>
      <c r="C448" s="104">
        <v>0</v>
      </c>
      <c r="D448" s="106">
        <v>22330</v>
      </c>
      <c r="E448" s="306" t="str">
        <f>IF($C$49=3,"ZC0411???","ZC0411004")</f>
        <v>ZC0411004</v>
      </c>
      <c r="F448" s="316" t="s">
        <v>219</v>
      </c>
      <c r="G448" s="316" t="s">
        <v>220</v>
      </c>
      <c r="H448" s="315"/>
      <c r="I448" s="70"/>
      <c r="J448" s="76"/>
    </row>
    <row r="449" spans="1:10" ht="15">
      <c r="A449" s="72" t="s">
        <v>3</v>
      </c>
      <c r="B449" s="72"/>
      <c r="C449" s="104">
        <v>0</v>
      </c>
      <c r="D449" s="106">
        <v>22340</v>
      </c>
      <c r="E449" s="72" t="s">
        <v>1123</v>
      </c>
      <c r="F449" s="316" t="s">
        <v>153</v>
      </c>
      <c r="G449" s="315"/>
      <c r="H449" s="315"/>
      <c r="I449" s="70"/>
      <c r="J449" s="76"/>
    </row>
    <row r="450" spans="1:11" ht="15">
      <c r="A450" s="62"/>
      <c r="B450" s="70"/>
      <c r="C450" s="73" t="e">
        <f>SUM($C$374:$C$436)</f>
        <v>#N/A</v>
      </c>
      <c r="D450" s="70"/>
      <c r="E450" s="70"/>
      <c r="F450" s="70"/>
      <c r="G450" s="70"/>
      <c r="H450" s="70"/>
      <c r="I450" s="70"/>
      <c r="J450" s="70"/>
      <c r="K450" s="76"/>
    </row>
    <row r="451" spans="1:11" ht="15">
      <c r="A451" s="62" t="s">
        <v>19</v>
      </c>
      <c r="B451" s="70"/>
      <c r="C451" s="17"/>
      <c r="D451" s="70"/>
      <c r="E451" s="70"/>
      <c r="F451" s="70"/>
      <c r="G451" s="70"/>
      <c r="H451" s="70"/>
      <c r="I451" s="70"/>
      <c r="J451" s="70"/>
      <c r="K451" s="76"/>
    </row>
    <row r="452" spans="1:11" ht="15">
      <c r="A452" s="45" t="s">
        <v>1065</v>
      </c>
      <c r="B452" s="45"/>
      <c r="C452" s="88">
        <f>IF(Nomenclature!$E$5="E",10000,IF(Nomenclature!$E$5="G",20000,0))</f>
        <v>0</v>
      </c>
      <c r="D452" s="300" t="s">
        <v>1066</v>
      </c>
      <c r="E452" s="70"/>
      <c r="F452" s="70"/>
      <c r="G452" s="70"/>
      <c r="H452" s="70"/>
      <c r="I452" s="70"/>
      <c r="J452" s="70"/>
      <c r="K452" s="76"/>
    </row>
    <row r="453" spans="1:11" ht="15">
      <c r="A453" s="45" t="s">
        <v>1067</v>
      </c>
      <c r="B453" s="45"/>
      <c r="C453" s="89">
        <f>IF(Nomenclature!$G$5="1",1000,IF(Nomenclature!$G$5="2",2000,0))</f>
        <v>0</v>
      </c>
      <c r="D453" s="300" t="s">
        <v>1068</v>
      </c>
      <c r="E453" s="70"/>
      <c r="F453" s="70"/>
      <c r="G453" s="70"/>
      <c r="H453" s="70"/>
      <c r="I453" s="70"/>
      <c r="J453" s="70"/>
      <c r="K453" s="76"/>
    </row>
    <row r="454" spans="1:11" ht="15">
      <c r="A454" s="45" t="s">
        <v>422</v>
      </c>
      <c r="B454" s="45"/>
      <c r="C454" s="90">
        <f>IF(Nomenclature!$H$5="1",100,IF(Nomenclature!$H$5="2",200,IF(Nomenclature!$H$5="4",300,IF(Nomenclature!$H$5="5",500,0))))</f>
        <v>0</v>
      </c>
      <c r="D454" s="300" t="s">
        <v>1069</v>
      </c>
      <c r="E454" s="70"/>
      <c r="F454" s="70"/>
      <c r="G454" s="70"/>
      <c r="H454" s="70"/>
      <c r="I454" s="70"/>
      <c r="J454" s="70"/>
      <c r="K454" s="76"/>
    </row>
    <row r="455" spans="1:11" ht="29.25">
      <c r="A455" s="101" t="s">
        <v>20</v>
      </c>
      <c r="B455" s="45"/>
      <c r="C455" s="175">
        <f>IF(Nomenclature!$N$5="C",10,IF(Nomenclature!$N$5="D",20,IF(Nomenclature!$N$5="E",30,IF(Nomenclature!$N$5="F",40,IF(Nomenclature!$N$5="G",50,IF(Nomenclature!$N$5="L",60,IF(Nomenclature!$N$5="M",70,IF(Nomenclature!$N$5="P",80,0))))))))</f>
        <v>0</v>
      </c>
      <c r="D455" s="305" t="s">
        <v>1071</v>
      </c>
      <c r="E455" s="305"/>
      <c r="F455" s="305"/>
      <c r="G455" s="70"/>
      <c r="H455" s="70"/>
      <c r="I455" s="70"/>
      <c r="J455" s="70"/>
      <c r="K455" s="76"/>
    </row>
    <row r="456" spans="1:11" ht="15">
      <c r="A456" s="45" t="s">
        <v>368</v>
      </c>
      <c r="B456" s="45"/>
      <c r="C456" s="38">
        <f>IF(Nomenclature!$M$5="1",1,IF(Nomenclature!$M$5="4",4,0))</f>
        <v>0</v>
      </c>
      <c r="D456" s="300" t="s">
        <v>1072</v>
      </c>
      <c r="E456" s="70"/>
      <c r="F456" s="70"/>
      <c r="G456" s="70"/>
      <c r="H456" s="70"/>
      <c r="I456" s="70"/>
      <c r="J456" s="70"/>
      <c r="K456" s="76"/>
    </row>
    <row r="457" spans="1:10" ht="15">
      <c r="A457" s="72" t="s">
        <v>21</v>
      </c>
      <c r="B457" s="72"/>
      <c r="C457" s="104">
        <v>0</v>
      </c>
      <c r="D457" s="106">
        <v>11311</v>
      </c>
      <c r="E457" s="72" t="s">
        <v>22</v>
      </c>
      <c r="F457" s="317" t="s">
        <v>1109</v>
      </c>
      <c r="G457" s="318"/>
      <c r="H457" s="318"/>
      <c r="I457" s="70"/>
      <c r="J457" s="76"/>
    </row>
    <row r="458" spans="1:10" ht="15">
      <c r="A458" s="72" t="s">
        <v>23</v>
      </c>
      <c r="B458" s="72"/>
      <c r="C458" s="104">
        <v>0</v>
      </c>
      <c r="D458" s="106">
        <v>11314</v>
      </c>
      <c r="E458" s="72" t="s">
        <v>24</v>
      </c>
      <c r="F458" s="317" t="s">
        <v>1111</v>
      </c>
      <c r="G458" s="318"/>
      <c r="H458" s="318"/>
      <c r="I458" s="70"/>
      <c r="J458" s="76"/>
    </row>
    <row r="459" spans="1:10" ht="15">
      <c r="A459" s="72" t="s">
        <v>21</v>
      </c>
      <c r="B459" s="72"/>
      <c r="C459" s="104">
        <v>0</v>
      </c>
      <c r="D459" s="106">
        <v>11321</v>
      </c>
      <c r="E459" s="72" t="s">
        <v>22</v>
      </c>
      <c r="F459" s="317" t="s">
        <v>1114</v>
      </c>
      <c r="G459" s="318"/>
      <c r="H459" s="318"/>
      <c r="I459" s="70"/>
      <c r="J459" s="76"/>
    </row>
    <row r="460" spans="1:10" ht="15">
      <c r="A460" s="72" t="s">
        <v>23</v>
      </c>
      <c r="B460" s="72"/>
      <c r="C460" s="104">
        <v>0</v>
      </c>
      <c r="D460" s="106">
        <v>11324</v>
      </c>
      <c r="E460" s="72" t="s">
        <v>24</v>
      </c>
      <c r="F460" s="317" t="s">
        <v>1116</v>
      </c>
      <c r="G460" s="318"/>
      <c r="H460" s="318"/>
      <c r="I460" s="70"/>
      <c r="J460" s="76"/>
    </row>
    <row r="461" spans="1:10" ht="15">
      <c r="A461" s="72" t="s">
        <v>21</v>
      </c>
      <c r="B461" s="72"/>
      <c r="C461" s="104">
        <v>0</v>
      </c>
      <c r="D461" s="106">
        <v>11331</v>
      </c>
      <c r="E461" s="72" t="s">
        <v>22</v>
      </c>
      <c r="F461" s="317" t="s">
        <v>1119</v>
      </c>
      <c r="G461" s="318"/>
      <c r="H461" s="318"/>
      <c r="I461" s="70"/>
      <c r="J461" s="76"/>
    </row>
    <row r="462" spans="1:10" ht="15">
      <c r="A462" s="72" t="s">
        <v>23</v>
      </c>
      <c r="B462" s="72"/>
      <c r="C462" s="104">
        <v>0</v>
      </c>
      <c r="D462" s="106">
        <v>11334</v>
      </c>
      <c r="E462" s="72" t="s">
        <v>24</v>
      </c>
      <c r="F462" s="317" t="s">
        <v>1121</v>
      </c>
      <c r="G462" s="318"/>
      <c r="H462" s="318"/>
      <c r="I462" s="70"/>
      <c r="J462" s="76"/>
    </row>
    <row r="463" spans="1:10" ht="15">
      <c r="A463" s="72" t="s">
        <v>21</v>
      </c>
      <c r="B463" s="72"/>
      <c r="C463" s="104">
        <v>0</v>
      </c>
      <c r="D463" s="106">
        <v>11341</v>
      </c>
      <c r="E463" s="72" t="s">
        <v>22</v>
      </c>
      <c r="F463" s="317" t="s">
        <v>1124</v>
      </c>
      <c r="G463" s="318"/>
      <c r="H463" s="318"/>
      <c r="I463" s="70"/>
      <c r="J463" s="76"/>
    </row>
    <row r="464" spans="1:10" ht="15">
      <c r="A464" s="72" t="s">
        <v>23</v>
      </c>
      <c r="B464" s="72"/>
      <c r="C464" s="104">
        <v>0</v>
      </c>
      <c r="D464" s="106">
        <v>11344</v>
      </c>
      <c r="E464" s="72" t="s">
        <v>24</v>
      </c>
      <c r="F464" s="317" t="s">
        <v>1126</v>
      </c>
      <c r="G464" s="318"/>
      <c r="H464" s="318"/>
      <c r="I464" s="70"/>
      <c r="J464" s="76"/>
    </row>
    <row r="465" spans="1:10" ht="15">
      <c r="A465" s="72" t="s">
        <v>25</v>
      </c>
      <c r="B465" s="72"/>
      <c r="C465" s="104">
        <v>0</v>
      </c>
      <c r="D465" s="106">
        <v>11361</v>
      </c>
      <c r="E465" s="72" t="s">
        <v>26</v>
      </c>
      <c r="F465" s="317" t="s">
        <v>1128</v>
      </c>
      <c r="G465" s="318"/>
      <c r="H465" s="318"/>
      <c r="I465" s="70"/>
      <c r="J465" s="76"/>
    </row>
    <row r="466" spans="1:10" ht="15">
      <c r="A466" s="72" t="s">
        <v>25</v>
      </c>
      <c r="B466" s="72"/>
      <c r="C466" s="104">
        <v>0</v>
      </c>
      <c r="D466" s="106">
        <v>11371</v>
      </c>
      <c r="E466" s="72" t="s">
        <v>26</v>
      </c>
      <c r="F466" s="317" t="s">
        <v>1130</v>
      </c>
      <c r="G466" s="318"/>
      <c r="H466" s="318"/>
      <c r="I466" s="70"/>
      <c r="J466" s="76"/>
    </row>
    <row r="467" spans="1:10" ht="15">
      <c r="A467" s="72" t="s">
        <v>25</v>
      </c>
      <c r="B467" s="72"/>
      <c r="C467" s="104">
        <v>0</v>
      </c>
      <c r="D467" s="106">
        <v>11381</v>
      </c>
      <c r="E467" s="72" t="s">
        <v>26</v>
      </c>
      <c r="F467" s="317" t="s">
        <v>1133</v>
      </c>
      <c r="G467" s="318"/>
      <c r="H467" s="318"/>
      <c r="I467" s="70"/>
      <c r="J467" s="76"/>
    </row>
    <row r="468" spans="1:10" ht="15">
      <c r="A468" s="72" t="s">
        <v>27</v>
      </c>
      <c r="B468" s="72"/>
      <c r="C468" s="104">
        <v>0</v>
      </c>
      <c r="D468" s="106">
        <v>11511</v>
      </c>
      <c r="E468" s="72" t="s">
        <v>28</v>
      </c>
      <c r="F468" s="317" t="s">
        <v>1135</v>
      </c>
      <c r="G468" s="318"/>
      <c r="H468" s="318"/>
      <c r="I468" s="70"/>
      <c r="J468" s="76"/>
    </row>
    <row r="469" spans="1:10" ht="15">
      <c r="A469" s="72" t="s">
        <v>29</v>
      </c>
      <c r="B469" s="72"/>
      <c r="C469" s="104">
        <v>0</v>
      </c>
      <c r="D469" s="106">
        <v>11514</v>
      </c>
      <c r="E469" s="72" t="s">
        <v>30</v>
      </c>
      <c r="F469" s="317" t="s">
        <v>1137</v>
      </c>
      <c r="G469" s="318"/>
      <c r="H469" s="318"/>
      <c r="I469" s="70"/>
      <c r="J469" s="76"/>
    </row>
    <row r="470" spans="1:10" ht="15">
      <c r="A470" s="72" t="s">
        <v>27</v>
      </c>
      <c r="B470" s="72"/>
      <c r="C470" s="104">
        <v>0</v>
      </c>
      <c r="D470" s="106">
        <v>11521</v>
      </c>
      <c r="E470" s="72" t="s">
        <v>28</v>
      </c>
      <c r="F470" s="317" t="s">
        <v>1140</v>
      </c>
      <c r="G470" s="318"/>
      <c r="H470" s="318"/>
      <c r="I470" s="70"/>
      <c r="J470" s="76"/>
    </row>
    <row r="471" spans="1:10" ht="15">
      <c r="A471" s="72" t="s">
        <v>29</v>
      </c>
      <c r="B471" s="72"/>
      <c r="C471" s="104">
        <v>0</v>
      </c>
      <c r="D471" s="106">
        <v>11524</v>
      </c>
      <c r="E471" s="72" t="s">
        <v>30</v>
      </c>
      <c r="F471" s="317" t="s">
        <v>1142</v>
      </c>
      <c r="G471" s="318"/>
      <c r="H471" s="318"/>
      <c r="I471" s="70"/>
      <c r="J471" s="76"/>
    </row>
    <row r="472" spans="1:10" ht="15">
      <c r="A472" s="72" t="s">
        <v>27</v>
      </c>
      <c r="B472" s="72"/>
      <c r="C472" s="104">
        <v>0</v>
      </c>
      <c r="D472" s="106">
        <v>11531</v>
      </c>
      <c r="E472" s="72" t="s">
        <v>28</v>
      </c>
      <c r="F472" s="317" t="s">
        <v>1144</v>
      </c>
      <c r="G472" s="318"/>
      <c r="H472" s="318"/>
      <c r="I472" s="70"/>
      <c r="J472" s="76"/>
    </row>
    <row r="473" spans="1:10" ht="15">
      <c r="A473" s="72" t="s">
        <v>29</v>
      </c>
      <c r="B473" s="72"/>
      <c r="C473" s="104">
        <v>0</v>
      </c>
      <c r="D473" s="106">
        <v>11534</v>
      </c>
      <c r="E473" s="72" t="s">
        <v>30</v>
      </c>
      <c r="F473" s="317" t="s">
        <v>1146</v>
      </c>
      <c r="G473" s="318"/>
      <c r="H473" s="318"/>
      <c r="I473" s="70"/>
      <c r="J473" s="76"/>
    </row>
    <row r="474" spans="1:10" ht="15">
      <c r="A474" s="72" t="s">
        <v>27</v>
      </c>
      <c r="B474" s="72"/>
      <c r="C474" s="104">
        <v>0</v>
      </c>
      <c r="D474" s="106">
        <v>11541</v>
      </c>
      <c r="E474" s="72" t="s">
        <v>28</v>
      </c>
      <c r="F474" s="317" t="s">
        <v>1148</v>
      </c>
      <c r="G474" s="318"/>
      <c r="H474" s="318"/>
      <c r="I474" s="70"/>
      <c r="J474" s="76"/>
    </row>
    <row r="475" spans="1:10" ht="15">
      <c r="A475" s="72" t="s">
        <v>29</v>
      </c>
      <c r="B475" s="72"/>
      <c r="C475" s="104">
        <v>0</v>
      </c>
      <c r="D475" s="106">
        <v>11544</v>
      </c>
      <c r="E475" s="72" t="s">
        <v>30</v>
      </c>
      <c r="F475" s="317" t="s">
        <v>1150</v>
      </c>
      <c r="G475" s="318"/>
      <c r="H475" s="318"/>
      <c r="I475" s="70"/>
      <c r="J475" s="76"/>
    </row>
    <row r="476" spans="1:10" ht="15">
      <c r="A476" s="72" t="s">
        <v>27</v>
      </c>
      <c r="B476" s="72"/>
      <c r="C476" s="104">
        <v>0</v>
      </c>
      <c r="D476" s="106">
        <v>11561</v>
      </c>
      <c r="E476" s="72" t="s">
        <v>28</v>
      </c>
      <c r="F476" s="317" t="s">
        <v>1152</v>
      </c>
      <c r="G476" s="318"/>
      <c r="H476" s="318"/>
      <c r="I476" s="70"/>
      <c r="J476" s="76"/>
    </row>
    <row r="477" spans="1:10" ht="15">
      <c r="A477" s="72" t="s">
        <v>29</v>
      </c>
      <c r="B477" s="72"/>
      <c r="C477" s="104">
        <v>0</v>
      </c>
      <c r="D477" s="106">
        <v>11564</v>
      </c>
      <c r="E477" s="72" t="s">
        <v>30</v>
      </c>
      <c r="F477" s="317" t="s">
        <v>1154</v>
      </c>
      <c r="G477" s="318"/>
      <c r="H477" s="318"/>
      <c r="I477" s="70"/>
      <c r="J477" s="76"/>
    </row>
    <row r="478" spans="1:10" ht="15">
      <c r="A478" s="72" t="s">
        <v>27</v>
      </c>
      <c r="B478" s="72"/>
      <c r="C478" s="104">
        <v>0</v>
      </c>
      <c r="D478" s="106">
        <v>11571</v>
      </c>
      <c r="E478" s="72" t="s">
        <v>28</v>
      </c>
      <c r="F478" s="317" t="s">
        <v>1156</v>
      </c>
      <c r="G478" s="318"/>
      <c r="H478" s="318"/>
      <c r="I478" s="70"/>
      <c r="J478" s="76"/>
    </row>
    <row r="479" spans="1:10" ht="15">
      <c r="A479" s="72" t="s">
        <v>29</v>
      </c>
      <c r="B479" s="72"/>
      <c r="C479" s="104">
        <v>0</v>
      </c>
      <c r="D479" s="106">
        <v>11574</v>
      </c>
      <c r="E479" s="72" t="s">
        <v>30</v>
      </c>
      <c r="F479" s="317" t="s">
        <v>1158</v>
      </c>
      <c r="G479" s="318"/>
      <c r="H479" s="318"/>
      <c r="I479" s="70"/>
      <c r="J479" s="76"/>
    </row>
    <row r="480" spans="1:10" ht="15">
      <c r="A480" s="72" t="s">
        <v>27</v>
      </c>
      <c r="B480" s="72"/>
      <c r="C480" s="104">
        <v>0</v>
      </c>
      <c r="D480" s="106">
        <v>11581</v>
      </c>
      <c r="E480" s="72" t="s">
        <v>28</v>
      </c>
      <c r="F480" s="317" t="s">
        <v>1160</v>
      </c>
      <c r="G480" s="318"/>
      <c r="H480" s="318"/>
      <c r="I480" s="70"/>
      <c r="J480" s="76"/>
    </row>
    <row r="481" spans="1:10" ht="15">
      <c r="A481" s="72" t="s">
        <v>29</v>
      </c>
      <c r="B481" s="72"/>
      <c r="C481" s="104">
        <v>0</v>
      </c>
      <c r="D481" s="106">
        <v>11584</v>
      </c>
      <c r="E481" s="72" t="s">
        <v>30</v>
      </c>
      <c r="F481" s="317" t="s">
        <v>1164</v>
      </c>
      <c r="G481" s="318"/>
      <c r="H481" s="318"/>
      <c r="I481" s="70"/>
      <c r="J481" s="76"/>
    </row>
    <row r="482" spans="1:10" ht="15">
      <c r="A482" s="72" t="s">
        <v>31</v>
      </c>
      <c r="B482" s="72"/>
      <c r="C482" s="104">
        <v>0</v>
      </c>
      <c r="D482" s="106">
        <v>12311</v>
      </c>
      <c r="E482" s="72" t="s">
        <v>1169</v>
      </c>
      <c r="F482" s="317" t="s">
        <v>1167</v>
      </c>
      <c r="G482" s="318"/>
      <c r="H482" s="318"/>
      <c r="I482" s="70"/>
      <c r="J482" s="76"/>
    </row>
    <row r="483" spans="1:10" ht="15">
      <c r="A483" s="72" t="s">
        <v>9</v>
      </c>
      <c r="B483" s="72"/>
      <c r="C483" s="104">
        <v>0</v>
      </c>
      <c r="D483" s="106">
        <v>12314</v>
      </c>
      <c r="E483" s="72" t="s">
        <v>1169</v>
      </c>
      <c r="F483" s="317" t="s">
        <v>1170</v>
      </c>
      <c r="G483" s="318"/>
      <c r="H483" s="318"/>
      <c r="I483" s="70"/>
      <c r="J483" s="76"/>
    </row>
    <row r="484" spans="1:10" s="310" customFormat="1" ht="15">
      <c r="A484" s="306" t="s">
        <v>32</v>
      </c>
      <c r="B484" s="306"/>
      <c r="C484" s="66">
        <v>0</v>
      </c>
      <c r="D484" s="307">
        <v>12321</v>
      </c>
      <c r="E484" s="306" t="s">
        <v>1169</v>
      </c>
      <c r="F484" s="317"/>
      <c r="G484" s="318"/>
      <c r="H484" s="318"/>
      <c r="I484" s="308"/>
      <c r="J484" s="309"/>
    </row>
    <row r="485" spans="1:10" ht="15">
      <c r="A485" s="72" t="s">
        <v>33</v>
      </c>
      <c r="B485" s="72"/>
      <c r="C485" s="104">
        <v>0</v>
      </c>
      <c r="D485" s="106">
        <v>12331</v>
      </c>
      <c r="E485" s="72" t="s">
        <v>1186</v>
      </c>
      <c r="F485" s="317" t="s">
        <v>1174</v>
      </c>
      <c r="G485" s="318"/>
      <c r="H485" s="318"/>
      <c r="I485" s="70"/>
      <c r="J485" s="76"/>
    </row>
    <row r="486" spans="1:10" ht="15">
      <c r="A486" s="72" t="s">
        <v>13</v>
      </c>
      <c r="B486" s="72"/>
      <c r="C486" s="104">
        <v>0</v>
      </c>
      <c r="D486" s="106">
        <v>12334</v>
      </c>
      <c r="E486" s="72" t="s">
        <v>1186</v>
      </c>
      <c r="F486" s="317" t="s">
        <v>1176</v>
      </c>
      <c r="G486" s="318" t="s">
        <v>1187</v>
      </c>
      <c r="H486" s="318"/>
      <c r="I486" s="70"/>
      <c r="J486" s="76"/>
    </row>
    <row r="487" spans="1:10" s="310" customFormat="1" ht="15">
      <c r="A487" s="306" t="s">
        <v>1177</v>
      </c>
      <c r="B487" s="306"/>
      <c r="C487" s="66">
        <v>0</v>
      </c>
      <c r="D487" s="307">
        <v>12341</v>
      </c>
      <c r="E487" s="306" t="s">
        <v>1173</v>
      </c>
      <c r="F487" s="317"/>
      <c r="G487" s="318"/>
      <c r="H487" s="318"/>
      <c r="I487" s="308"/>
      <c r="J487" s="309"/>
    </row>
    <row r="488" spans="1:10" ht="15">
      <c r="A488" s="72" t="s">
        <v>31</v>
      </c>
      <c r="B488" s="72"/>
      <c r="C488" s="104">
        <v>0</v>
      </c>
      <c r="D488" s="106">
        <v>12361</v>
      </c>
      <c r="E488" s="72" t="s">
        <v>1169</v>
      </c>
      <c r="F488" s="317" t="s">
        <v>1179</v>
      </c>
      <c r="G488" s="318" t="s">
        <v>1180</v>
      </c>
      <c r="H488" s="318"/>
      <c r="I488" s="70"/>
      <c r="J488" s="76"/>
    </row>
    <row r="489" spans="1:10" ht="15">
      <c r="A489" s="72" t="s">
        <v>9</v>
      </c>
      <c r="B489" s="72"/>
      <c r="C489" s="104">
        <v>0</v>
      </c>
      <c r="D489" s="106">
        <v>12364</v>
      </c>
      <c r="E489" s="72" t="s">
        <v>1169</v>
      </c>
      <c r="F489" s="317" t="s">
        <v>1182</v>
      </c>
      <c r="G489" s="318"/>
      <c r="H489" s="318"/>
      <c r="I489" s="70"/>
      <c r="J489" s="76"/>
    </row>
    <row r="490" spans="1:10" ht="15">
      <c r="A490" s="72" t="s">
        <v>33</v>
      </c>
      <c r="B490" s="72"/>
      <c r="C490" s="104">
        <v>0</v>
      </c>
      <c r="D490" s="106">
        <v>12371</v>
      </c>
      <c r="E490" s="72" t="s">
        <v>1186</v>
      </c>
      <c r="F490" s="317" t="s">
        <v>1184</v>
      </c>
      <c r="G490" s="318"/>
      <c r="H490" s="318"/>
      <c r="I490" s="70"/>
      <c r="J490" s="76"/>
    </row>
    <row r="491" spans="1:10" ht="15">
      <c r="A491" s="72" t="s">
        <v>33</v>
      </c>
      <c r="B491" s="72"/>
      <c r="C491" s="104">
        <v>0</v>
      </c>
      <c r="D491" s="106">
        <v>12374</v>
      </c>
      <c r="E491" s="72" t="s">
        <v>14</v>
      </c>
      <c r="F491" s="317" t="s">
        <v>1187</v>
      </c>
      <c r="G491" s="318"/>
      <c r="H491" s="318"/>
      <c r="I491" s="70"/>
      <c r="J491" s="76"/>
    </row>
    <row r="492" spans="1:10" s="310" customFormat="1" ht="15">
      <c r="A492" s="306" t="s">
        <v>34</v>
      </c>
      <c r="B492" s="306"/>
      <c r="C492" s="66">
        <v>0</v>
      </c>
      <c r="D492" s="307">
        <v>20010</v>
      </c>
      <c r="E492" s="306" t="s">
        <v>35</v>
      </c>
      <c r="F492" s="317"/>
      <c r="G492" s="318"/>
      <c r="H492" s="318"/>
      <c r="I492" s="308"/>
      <c r="J492" s="309"/>
    </row>
    <row r="493" spans="1:10" s="310" customFormat="1" ht="15">
      <c r="A493" s="306" t="s">
        <v>34</v>
      </c>
      <c r="B493" s="306"/>
      <c r="C493" s="66">
        <v>0</v>
      </c>
      <c r="D493" s="307">
        <v>20030</v>
      </c>
      <c r="E493" s="306" t="s">
        <v>36</v>
      </c>
      <c r="F493" s="317"/>
      <c r="G493" s="318"/>
      <c r="H493" s="318"/>
      <c r="I493" s="308"/>
      <c r="J493" s="309"/>
    </row>
    <row r="494" spans="1:10" ht="15">
      <c r="A494" s="72"/>
      <c r="B494" s="72"/>
      <c r="C494" s="104">
        <v>0</v>
      </c>
      <c r="D494" s="106">
        <v>20310</v>
      </c>
      <c r="E494" s="72" t="s">
        <v>35</v>
      </c>
      <c r="F494" s="317" t="s">
        <v>1189</v>
      </c>
      <c r="G494" s="318"/>
      <c r="H494" s="318"/>
      <c r="I494" s="70"/>
      <c r="J494" s="76"/>
    </row>
    <row r="495" spans="1:10" ht="15">
      <c r="A495" s="72"/>
      <c r="B495" s="72"/>
      <c r="C495" s="104">
        <v>0</v>
      </c>
      <c r="D495" s="106">
        <v>20320</v>
      </c>
      <c r="E495" s="72" t="s">
        <v>35</v>
      </c>
      <c r="F495" s="317" t="s">
        <v>1191</v>
      </c>
      <c r="G495" s="318"/>
      <c r="H495" s="318"/>
      <c r="I495" s="70"/>
      <c r="J495" s="76"/>
    </row>
    <row r="496" spans="1:10" ht="15">
      <c r="A496" s="72"/>
      <c r="B496" s="72"/>
      <c r="C496" s="104">
        <v>0</v>
      </c>
      <c r="D496" s="106">
        <v>20330</v>
      </c>
      <c r="E496" s="72" t="s">
        <v>36</v>
      </c>
      <c r="F496" s="317" t="s">
        <v>2</v>
      </c>
      <c r="G496" s="318"/>
      <c r="H496" s="318"/>
      <c r="I496" s="70"/>
      <c r="J496" s="76"/>
    </row>
    <row r="497" spans="1:10" ht="15">
      <c r="A497" s="72"/>
      <c r="B497" s="72"/>
      <c r="C497" s="104">
        <v>0</v>
      </c>
      <c r="D497" s="106">
        <v>20340</v>
      </c>
      <c r="E497" s="72" t="s">
        <v>36</v>
      </c>
      <c r="F497" s="317" t="s">
        <v>4</v>
      </c>
      <c r="G497" s="318"/>
      <c r="H497" s="318"/>
      <c r="I497" s="70"/>
      <c r="J497" s="76"/>
    </row>
    <row r="498" spans="1:10" ht="15">
      <c r="A498" s="72"/>
      <c r="B498" s="72"/>
      <c r="C498" s="104">
        <v>0</v>
      </c>
      <c r="D498" s="106">
        <v>22310</v>
      </c>
      <c r="E498" s="306" t="str">
        <f>IF($C$49=3,"GJ0304???","GJ0304051")</f>
        <v>GJ0304051</v>
      </c>
      <c r="F498" s="317" t="s">
        <v>15</v>
      </c>
      <c r="G498" s="317" t="s">
        <v>134</v>
      </c>
      <c r="H498" s="318"/>
      <c r="I498" s="70"/>
      <c r="J498" s="76"/>
    </row>
    <row r="499" spans="1:10" ht="15">
      <c r="A499" s="72"/>
      <c r="B499" s="72"/>
      <c r="C499" s="104">
        <v>0</v>
      </c>
      <c r="D499" s="106">
        <v>22320</v>
      </c>
      <c r="E499" s="72" t="s">
        <v>37</v>
      </c>
      <c r="F499" s="317" t="s">
        <v>16</v>
      </c>
      <c r="G499" s="318"/>
      <c r="H499" s="318"/>
      <c r="I499" s="70"/>
      <c r="J499" s="76"/>
    </row>
    <row r="500" spans="1:10" ht="15">
      <c r="A500" s="72"/>
      <c r="B500" s="72"/>
      <c r="C500" s="104">
        <v>0</v>
      </c>
      <c r="D500" s="106">
        <v>22330</v>
      </c>
      <c r="E500" s="306" t="str">
        <f>IF($C$49=3,"GJ0304???","GJ0304052")</f>
        <v>GJ0304052</v>
      </c>
      <c r="F500" s="317" t="s">
        <v>17</v>
      </c>
      <c r="G500" s="318"/>
      <c r="H500" s="318"/>
      <c r="I500" s="70"/>
      <c r="J500" s="76"/>
    </row>
    <row r="501" spans="1:10" ht="15">
      <c r="A501" s="72"/>
      <c r="B501" s="72"/>
      <c r="C501" s="104">
        <v>0</v>
      </c>
      <c r="D501" s="106">
        <v>22340</v>
      </c>
      <c r="E501" s="72" t="s">
        <v>38</v>
      </c>
      <c r="F501" s="317" t="s">
        <v>18</v>
      </c>
      <c r="G501" s="318"/>
      <c r="H501" s="318"/>
      <c r="I501" s="70"/>
      <c r="J501" s="76"/>
    </row>
    <row r="502" spans="1:11" ht="15">
      <c r="A502" s="62"/>
      <c r="B502" s="70"/>
      <c r="C502" s="73">
        <f>SUM($C$452:$C$501)</f>
        <v>0</v>
      </c>
      <c r="D502" s="70"/>
      <c r="E502" s="70"/>
      <c r="F502" s="70"/>
      <c r="G502" s="70"/>
      <c r="H502" s="70"/>
      <c r="I502" s="70"/>
      <c r="J502" s="70"/>
      <c r="K502" s="76"/>
    </row>
    <row r="503" spans="1:11" ht="15">
      <c r="A503" s="62" t="s">
        <v>39</v>
      </c>
      <c r="B503" s="70"/>
      <c r="C503" s="17"/>
      <c r="D503" s="70"/>
      <c r="E503" s="70"/>
      <c r="F503" s="70"/>
      <c r="G503" s="70"/>
      <c r="H503" s="70"/>
      <c r="I503" s="70"/>
      <c r="J503" s="70"/>
      <c r="K503" s="76"/>
    </row>
    <row r="504" spans="1:11" ht="15">
      <c r="A504" s="45" t="s">
        <v>1065</v>
      </c>
      <c r="B504" s="45"/>
      <c r="C504" s="88">
        <f>IF(Nomenclature!$E$5="E",10000,IF(Nomenclature!$E$5="G",20000,0))</f>
        <v>0</v>
      </c>
      <c r="D504" s="300" t="s">
        <v>1066</v>
      </c>
      <c r="E504" s="70"/>
      <c r="F504" s="70"/>
      <c r="G504" s="70"/>
      <c r="H504" s="70"/>
      <c r="I504" s="70"/>
      <c r="J504" s="70"/>
      <c r="K504" s="76"/>
    </row>
    <row r="505" spans="1:11" ht="15">
      <c r="A505" s="45" t="s">
        <v>1067</v>
      </c>
      <c r="B505" s="45"/>
      <c r="C505" s="89">
        <f>IF(Nomenclature!$G$5="1",1000,IF(Nomenclature!$G$5="2",2000,0))</f>
        <v>0</v>
      </c>
      <c r="D505" s="300" t="s">
        <v>1068</v>
      </c>
      <c r="E505" s="70"/>
      <c r="F505" s="70"/>
      <c r="G505" s="70"/>
      <c r="H505" s="70"/>
      <c r="I505" s="70"/>
      <c r="J505" s="70"/>
      <c r="K505" s="76"/>
    </row>
    <row r="506" spans="1:11" ht="15">
      <c r="A506" s="45" t="s">
        <v>422</v>
      </c>
      <c r="B506" s="45"/>
      <c r="C506" s="90">
        <f>IF(Nomenclature!$H$5="1",100,IF(Nomenclature!$H$5="2",200,IF(Nomenclature!$H$5="4",300,IF(Nomenclature!$H$5="5",500,0))))</f>
        <v>0</v>
      </c>
      <c r="D506" s="300" t="s">
        <v>1069</v>
      </c>
      <c r="E506" s="70"/>
      <c r="F506" s="70"/>
      <c r="G506" s="70"/>
      <c r="H506" s="70"/>
      <c r="I506" s="70"/>
      <c r="J506" s="70"/>
      <c r="K506" s="76"/>
    </row>
    <row r="507" spans="1:11" ht="29.25">
      <c r="A507" s="101" t="s">
        <v>40</v>
      </c>
      <c r="B507" s="45"/>
      <c r="C507" s="175">
        <f>IF(Nomenclature!$N$5="C",10,IF(Nomenclature!$N$5="D",20,IF(Nomenclature!$N$5="E",30,IF(Nomenclature!$N$5="F",40,IF(Nomenclature!$N$5="G",50,0)))))</f>
        <v>0</v>
      </c>
      <c r="D507" s="305" t="s">
        <v>1071</v>
      </c>
      <c r="E507" s="305"/>
      <c r="F507" s="305"/>
      <c r="G507" s="70"/>
      <c r="H507" s="70"/>
      <c r="I507" s="70"/>
      <c r="J507" s="70"/>
      <c r="K507" s="76"/>
    </row>
    <row r="508" spans="1:11" ht="15">
      <c r="A508" s="45" t="s">
        <v>368</v>
      </c>
      <c r="B508" s="45"/>
      <c r="C508" s="38">
        <f>IF(Nomenclature!$M$5="1",1,IF(Nomenclature!$M$5="4",4,0))</f>
        <v>0</v>
      </c>
      <c r="D508" s="300" t="s">
        <v>1072</v>
      </c>
      <c r="E508" s="70"/>
      <c r="F508" s="70"/>
      <c r="G508" s="70"/>
      <c r="H508" s="70"/>
      <c r="I508" s="70"/>
      <c r="J508" s="70"/>
      <c r="K508" s="76"/>
    </row>
    <row r="509" spans="1:10" ht="15">
      <c r="A509" s="72" t="s">
        <v>21</v>
      </c>
      <c r="B509" s="72"/>
      <c r="C509" s="104">
        <v>0</v>
      </c>
      <c r="D509" s="106">
        <v>11311</v>
      </c>
      <c r="E509" s="72" t="s">
        <v>22</v>
      </c>
      <c r="F509" s="316" t="s">
        <v>1109</v>
      </c>
      <c r="G509" s="316"/>
      <c r="H509" s="315"/>
      <c r="I509" s="70"/>
      <c r="J509" s="76"/>
    </row>
    <row r="510" spans="1:10" ht="15">
      <c r="A510" s="72" t="s">
        <v>23</v>
      </c>
      <c r="B510" s="72"/>
      <c r="C510" s="104">
        <v>0</v>
      </c>
      <c r="D510" s="106">
        <v>11314</v>
      </c>
      <c r="E510" s="72" t="s">
        <v>24</v>
      </c>
      <c r="F510" s="316" t="s">
        <v>1111</v>
      </c>
      <c r="G510" s="316"/>
      <c r="H510" s="315"/>
      <c r="I510" s="70"/>
      <c r="J510" s="76"/>
    </row>
    <row r="511" spans="1:10" ht="15">
      <c r="A511" s="72" t="s">
        <v>21</v>
      </c>
      <c r="B511" s="72"/>
      <c r="C511" s="104">
        <v>0</v>
      </c>
      <c r="D511" s="106">
        <v>11321</v>
      </c>
      <c r="E511" s="72" t="s">
        <v>22</v>
      </c>
      <c r="F511" s="316" t="s">
        <v>1114</v>
      </c>
      <c r="G511" s="316"/>
      <c r="H511" s="315"/>
      <c r="I511" s="70"/>
      <c r="J511" s="76"/>
    </row>
    <row r="512" spans="1:10" ht="15">
      <c r="A512" s="72" t="s">
        <v>23</v>
      </c>
      <c r="B512" s="72"/>
      <c r="C512" s="104">
        <v>0</v>
      </c>
      <c r="D512" s="106">
        <v>11324</v>
      </c>
      <c r="E512" s="72" t="s">
        <v>24</v>
      </c>
      <c r="F512" s="316" t="s">
        <v>1116</v>
      </c>
      <c r="G512" s="316"/>
      <c r="H512" s="315"/>
      <c r="I512" s="70"/>
      <c r="J512" s="76"/>
    </row>
    <row r="513" spans="1:10" ht="15">
      <c r="A513" s="72" t="s">
        <v>21</v>
      </c>
      <c r="B513" s="72"/>
      <c r="C513" s="104">
        <v>0</v>
      </c>
      <c r="D513" s="106">
        <v>11331</v>
      </c>
      <c r="E513" s="72" t="s">
        <v>22</v>
      </c>
      <c r="F513" s="316" t="s">
        <v>1119</v>
      </c>
      <c r="G513" s="316"/>
      <c r="H513" s="315"/>
      <c r="I513" s="70"/>
      <c r="J513" s="76"/>
    </row>
    <row r="514" spans="1:10" ht="15">
      <c r="A514" s="72" t="s">
        <v>23</v>
      </c>
      <c r="B514" s="72"/>
      <c r="C514" s="104">
        <v>0</v>
      </c>
      <c r="D514" s="106">
        <v>11334</v>
      </c>
      <c r="E514" s="72" t="s">
        <v>24</v>
      </c>
      <c r="F514" s="316" t="s">
        <v>1121</v>
      </c>
      <c r="G514" s="316"/>
      <c r="H514" s="315"/>
      <c r="I514" s="70"/>
      <c r="J514" s="76"/>
    </row>
    <row r="515" spans="1:10" ht="15">
      <c r="A515" s="72" t="s">
        <v>21</v>
      </c>
      <c r="B515" s="72"/>
      <c r="C515" s="104">
        <v>0</v>
      </c>
      <c r="D515" s="106">
        <v>11341</v>
      </c>
      <c r="E515" s="72" t="s">
        <v>22</v>
      </c>
      <c r="F515" s="316" t="s">
        <v>1124</v>
      </c>
      <c r="G515" s="316"/>
      <c r="H515" s="315"/>
      <c r="I515" s="70"/>
      <c r="J515" s="76"/>
    </row>
    <row r="516" spans="1:10" ht="15">
      <c r="A516" s="72" t="s">
        <v>23</v>
      </c>
      <c r="B516" s="72"/>
      <c r="C516" s="104">
        <v>0</v>
      </c>
      <c r="D516" s="106">
        <v>11344</v>
      </c>
      <c r="E516" s="72" t="s">
        <v>24</v>
      </c>
      <c r="F516" s="316" t="s">
        <v>1126</v>
      </c>
      <c r="G516" s="316"/>
      <c r="H516" s="315"/>
      <c r="I516" s="70"/>
      <c r="J516" s="76"/>
    </row>
    <row r="517" spans="1:10" ht="15">
      <c r="A517" s="72" t="s">
        <v>41</v>
      </c>
      <c r="B517" s="72"/>
      <c r="C517" s="104">
        <v>0</v>
      </c>
      <c r="D517" s="106">
        <v>12301</v>
      </c>
      <c r="E517" s="72" t="s">
        <v>26</v>
      </c>
      <c r="F517" s="316" t="s">
        <v>1179</v>
      </c>
      <c r="G517" s="316" t="s">
        <v>1184</v>
      </c>
      <c r="H517" s="315" t="s">
        <v>1180</v>
      </c>
      <c r="I517" s="302" t="s">
        <v>42</v>
      </c>
      <c r="J517" s="76"/>
    </row>
    <row r="518" spans="1:10" ht="15">
      <c r="A518" s="72" t="s">
        <v>43</v>
      </c>
      <c r="B518" s="72"/>
      <c r="C518" s="104">
        <v>0</v>
      </c>
      <c r="D518" s="106">
        <v>12304</v>
      </c>
      <c r="E518" s="72" t="s">
        <v>1088</v>
      </c>
      <c r="F518" s="316" t="s">
        <v>1182</v>
      </c>
      <c r="G518" s="316" t="s">
        <v>1187</v>
      </c>
      <c r="H518" s="315"/>
      <c r="I518" s="302"/>
      <c r="J518" s="76"/>
    </row>
    <row r="519" spans="1:10" ht="15">
      <c r="A519" s="72" t="s">
        <v>21</v>
      </c>
      <c r="B519" s="72"/>
      <c r="C519" s="104">
        <v>0</v>
      </c>
      <c r="D519" s="106">
        <v>12311</v>
      </c>
      <c r="E519" s="72" t="s">
        <v>22</v>
      </c>
      <c r="F519" s="316" t="s">
        <v>1167</v>
      </c>
      <c r="G519" s="316"/>
      <c r="H519" s="315"/>
      <c r="I519" s="70"/>
      <c r="J519" s="76"/>
    </row>
    <row r="520" spans="1:10" ht="15">
      <c r="A520" s="72" t="s">
        <v>23</v>
      </c>
      <c r="B520" s="72"/>
      <c r="C520" s="104">
        <v>0</v>
      </c>
      <c r="D520" s="106">
        <v>12314</v>
      </c>
      <c r="E520" s="72" t="s">
        <v>24</v>
      </c>
      <c r="F520" s="316" t="s">
        <v>1170</v>
      </c>
      <c r="G520" s="316"/>
      <c r="H520" s="315"/>
      <c r="I520" s="70"/>
      <c r="J520" s="76"/>
    </row>
    <row r="521" spans="1:10" s="310" customFormat="1" ht="15">
      <c r="A521" s="306" t="s">
        <v>44</v>
      </c>
      <c r="B521" s="306"/>
      <c r="C521" s="66">
        <v>0</v>
      </c>
      <c r="D521" s="307">
        <v>12320</v>
      </c>
      <c r="E521" s="306" t="s">
        <v>22</v>
      </c>
      <c r="F521" s="316"/>
      <c r="G521" s="316"/>
      <c r="H521" s="315"/>
      <c r="I521" s="308"/>
      <c r="J521" s="309"/>
    </row>
    <row r="522" spans="1:10" s="310" customFormat="1" ht="15">
      <c r="A522" s="306" t="s">
        <v>44</v>
      </c>
      <c r="B522" s="306"/>
      <c r="C522" s="66">
        <v>0</v>
      </c>
      <c r="D522" s="307">
        <v>12321</v>
      </c>
      <c r="E522" s="306" t="s">
        <v>22</v>
      </c>
      <c r="F522" s="316"/>
      <c r="G522" s="316"/>
      <c r="H522" s="315"/>
      <c r="I522" s="308"/>
      <c r="J522" s="309"/>
    </row>
    <row r="523" spans="1:10" s="310" customFormat="1" ht="15">
      <c r="A523" s="306" t="s">
        <v>45</v>
      </c>
      <c r="B523" s="306"/>
      <c r="C523" s="66">
        <v>0</v>
      </c>
      <c r="D523" s="307">
        <v>12324</v>
      </c>
      <c r="E523" s="306" t="s">
        <v>24</v>
      </c>
      <c r="F523" s="316"/>
      <c r="G523" s="316"/>
      <c r="H523" s="315"/>
      <c r="I523" s="308"/>
      <c r="J523" s="309"/>
    </row>
    <row r="524" spans="1:10" s="310" customFormat="1" ht="15">
      <c r="A524" s="306" t="s">
        <v>44</v>
      </c>
      <c r="B524" s="306"/>
      <c r="C524" s="66">
        <v>0</v>
      </c>
      <c r="D524" s="307">
        <v>12330</v>
      </c>
      <c r="E524" s="306" t="s">
        <v>22</v>
      </c>
      <c r="F524" s="316"/>
      <c r="G524" s="316"/>
      <c r="H524" s="315"/>
      <c r="I524" s="308"/>
      <c r="J524" s="309"/>
    </row>
    <row r="525" spans="1:10" ht="15">
      <c r="A525" s="72" t="s">
        <v>21</v>
      </c>
      <c r="B525" s="72"/>
      <c r="C525" s="104">
        <v>0</v>
      </c>
      <c r="D525" s="106">
        <v>12331</v>
      </c>
      <c r="E525" s="72" t="s">
        <v>22</v>
      </c>
      <c r="F525" s="316" t="s">
        <v>1174</v>
      </c>
      <c r="G525" s="316"/>
      <c r="H525" s="315"/>
      <c r="I525" s="70"/>
      <c r="J525" s="76"/>
    </row>
    <row r="526" spans="1:10" ht="15">
      <c r="A526" s="72" t="s">
        <v>23</v>
      </c>
      <c r="B526" s="72"/>
      <c r="C526" s="104">
        <v>0</v>
      </c>
      <c r="D526" s="106">
        <v>12334</v>
      </c>
      <c r="E526" s="72" t="s">
        <v>24</v>
      </c>
      <c r="F526" s="316" t="s">
        <v>1176</v>
      </c>
      <c r="G526" s="316"/>
      <c r="H526" s="315"/>
      <c r="I526" s="70"/>
      <c r="J526" s="76"/>
    </row>
    <row r="527" spans="1:10" s="310" customFormat="1" ht="15">
      <c r="A527" s="306" t="s">
        <v>44</v>
      </c>
      <c r="B527" s="306"/>
      <c r="C527" s="66">
        <v>0</v>
      </c>
      <c r="D527" s="307">
        <v>12340</v>
      </c>
      <c r="E527" s="306" t="s">
        <v>22</v>
      </c>
      <c r="F527" s="316"/>
      <c r="G527" s="316"/>
      <c r="H527" s="315"/>
      <c r="I527" s="308"/>
      <c r="J527" s="309"/>
    </row>
    <row r="528" spans="1:10" s="310" customFormat="1" ht="15">
      <c r="A528" s="306" t="s">
        <v>44</v>
      </c>
      <c r="B528" s="306"/>
      <c r="C528" s="66">
        <v>0</v>
      </c>
      <c r="D528" s="307">
        <v>12341</v>
      </c>
      <c r="E528" s="306" t="s">
        <v>22</v>
      </c>
      <c r="F528" s="316"/>
      <c r="G528" s="316"/>
      <c r="H528" s="315"/>
      <c r="I528" s="308"/>
      <c r="J528" s="309"/>
    </row>
    <row r="529" spans="1:10" s="310" customFormat="1" ht="15">
      <c r="A529" s="306" t="s">
        <v>45</v>
      </c>
      <c r="B529" s="306"/>
      <c r="C529" s="66">
        <v>0</v>
      </c>
      <c r="D529" s="307">
        <v>12344</v>
      </c>
      <c r="E529" s="306" t="s">
        <v>24</v>
      </c>
      <c r="F529" s="316"/>
      <c r="G529" s="315"/>
      <c r="H529" s="315"/>
      <c r="I529" s="308"/>
      <c r="J529" s="309"/>
    </row>
    <row r="530" spans="1:11" ht="15">
      <c r="A530" s="62"/>
      <c r="B530" s="70"/>
      <c r="C530" s="73">
        <f>SUM(C504:C519)</f>
        <v>0</v>
      </c>
      <c r="D530" s="70"/>
      <c r="E530" s="70"/>
      <c r="F530" s="70"/>
      <c r="G530" s="70"/>
      <c r="H530" s="70"/>
      <c r="I530" s="70"/>
      <c r="J530" s="70"/>
      <c r="K530" s="76"/>
    </row>
    <row r="531" spans="1:11" ht="15">
      <c r="A531" s="62"/>
      <c r="B531" s="70"/>
      <c r="C531" s="70"/>
      <c r="D531" s="70"/>
      <c r="E531" s="70"/>
      <c r="F531" s="70"/>
      <c r="G531" s="70"/>
      <c r="H531" s="70"/>
      <c r="I531" s="70"/>
      <c r="J531" s="70"/>
      <c r="K531" s="76"/>
    </row>
    <row r="532" spans="1:11" ht="15">
      <c r="A532" s="61" t="s">
        <v>46</v>
      </c>
      <c r="B532" s="69" t="s">
        <v>624</v>
      </c>
      <c r="C532" s="23"/>
      <c r="D532" s="298"/>
      <c r="E532" s="299">
        <v>32874</v>
      </c>
      <c r="F532" s="299">
        <v>36169</v>
      </c>
      <c r="G532" s="70"/>
      <c r="H532" s="70"/>
      <c r="I532" s="70"/>
      <c r="J532" s="70"/>
      <c r="K532" s="76"/>
    </row>
    <row r="533" spans="1:11" ht="15">
      <c r="A533" s="62"/>
      <c r="B533" s="127">
        <f ca="1">IF(Nomenclature!$B$32&lt;&gt;"",Nomenclature!$B$32,TODAY())</f>
        <v>40450</v>
      </c>
      <c r="C533" s="70"/>
      <c r="D533" s="76"/>
      <c r="E533" s="296" t="s">
        <v>47</v>
      </c>
      <c r="F533" s="296" t="s">
        <v>48</v>
      </c>
      <c r="G533" s="70"/>
      <c r="H533" s="70"/>
      <c r="I533" s="70"/>
      <c r="J533" s="70"/>
      <c r="K533" s="76"/>
    </row>
    <row r="534" spans="1:11" ht="15">
      <c r="A534" s="62"/>
      <c r="B534" s="70"/>
      <c r="C534" s="70"/>
      <c r="D534" s="76"/>
      <c r="E534" s="296" t="s">
        <v>49</v>
      </c>
      <c r="F534" s="296" t="s">
        <v>50</v>
      </c>
      <c r="G534" s="70"/>
      <c r="H534" s="70"/>
      <c r="I534" s="70"/>
      <c r="J534" s="70"/>
      <c r="K534" s="76"/>
    </row>
    <row r="535" spans="1:11" ht="15">
      <c r="A535" s="67"/>
      <c r="B535" s="77"/>
      <c r="C535" s="77"/>
      <c r="D535" s="78"/>
      <c r="E535" s="297" t="s">
        <v>51</v>
      </c>
      <c r="F535" s="297" t="s">
        <v>52</v>
      </c>
      <c r="G535" s="70"/>
      <c r="H535" s="70"/>
      <c r="I535" s="70"/>
      <c r="J535" s="70"/>
      <c r="K535" s="76"/>
    </row>
    <row r="536" spans="1:11" ht="15">
      <c r="A536" s="62"/>
      <c r="B536" s="70"/>
      <c r="C536" s="70"/>
      <c r="D536" s="70"/>
      <c r="E536" s="70"/>
      <c r="F536" s="70"/>
      <c r="G536" s="70"/>
      <c r="H536" s="70"/>
      <c r="I536" s="70"/>
      <c r="J536" s="70"/>
      <c r="K536" s="76"/>
    </row>
    <row r="537" spans="1:12" s="2" customFormat="1" ht="15">
      <c r="A537" s="331" t="s">
        <v>327</v>
      </c>
      <c r="B537" s="332"/>
      <c r="C537" s="332"/>
      <c r="D537" s="332"/>
      <c r="E537" s="333"/>
      <c r="F537" s="70"/>
      <c r="G537" s="70"/>
      <c r="H537" s="70"/>
      <c r="I537" s="70"/>
      <c r="J537" s="70"/>
      <c r="K537" s="76"/>
      <c r="L537"/>
    </row>
    <row r="538" spans="1:12" s="2" customFormat="1" ht="15">
      <c r="A538" s="334" t="s">
        <v>328</v>
      </c>
      <c r="B538" s="127">
        <f>$B$146</f>
        <v>40450</v>
      </c>
      <c r="C538" s="245"/>
      <c r="D538" s="245"/>
      <c r="E538" s="335"/>
      <c r="F538" s="70"/>
      <c r="G538" s="70"/>
      <c r="H538" s="70"/>
      <c r="I538" s="70"/>
      <c r="J538" s="70"/>
      <c r="K538" s="76"/>
      <c r="L538"/>
    </row>
    <row r="539" spans="1:12" s="2" customFormat="1" ht="15">
      <c r="A539" s="360" t="s">
        <v>329</v>
      </c>
      <c r="B539" s="362">
        <v>1</v>
      </c>
      <c r="C539" s="354">
        <v>1</v>
      </c>
      <c r="D539" s="354">
        <v>36617</v>
      </c>
      <c r="E539" s="354">
        <v>36800</v>
      </c>
      <c r="F539" s="70"/>
      <c r="G539" s="70"/>
      <c r="H539" s="70"/>
      <c r="I539" s="70"/>
      <c r="J539" s="70"/>
      <c r="K539" s="76"/>
      <c r="L539"/>
    </row>
    <row r="540" spans="1:12" s="2" customFormat="1" ht="15">
      <c r="A540" s="361"/>
      <c r="B540" s="337"/>
      <c r="C540" s="347">
        <v>1</v>
      </c>
      <c r="D540" s="347">
        <v>2</v>
      </c>
      <c r="E540" s="355">
        <v>3</v>
      </c>
      <c r="K540" s="76"/>
      <c r="L540"/>
    </row>
    <row r="541" spans="1:12" s="2" customFormat="1" ht="15">
      <c r="A541" s="363" t="str">
        <f>HLOOKUP($B$538,$C$539:$E$544,4)</f>
        <v> </v>
      </c>
      <c r="B541" s="364"/>
      <c r="C541" s="348" t="s">
        <v>718</v>
      </c>
      <c r="D541" s="351" t="s">
        <v>330</v>
      </c>
      <c r="E541" s="355" t="s">
        <v>718</v>
      </c>
      <c r="K541" s="76"/>
      <c r="L541"/>
    </row>
    <row r="542" spans="1:12" s="2" customFormat="1" ht="15">
      <c r="A542" s="358" t="str">
        <f>HLOOKUP($B$538,$C$539:$E$544,5)</f>
        <v> </v>
      </c>
      <c r="B542" s="365"/>
      <c r="C542" s="349" t="s">
        <v>636</v>
      </c>
      <c r="D542" s="352" t="s">
        <v>331</v>
      </c>
      <c r="E542" s="356" t="s">
        <v>636</v>
      </c>
      <c r="K542" s="76"/>
      <c r="L542"/>
    </row>
    <row r="543" spans="1:12" s="2" customFormat="1" ht="15">
      <c r="A543" s="359" t="str">
        <f>HLOOKUP($B$538,$C$539:$E$544,6)</f>
        <v> </v>
      </c>
      <c r="B543" s="366"/>
      <c r="C543" s="349" t="s">
        <v>636</v>
      </c>
      <c r="D543" s="352" t="s">
        <v>332</v>
      </c>
      <c r="E543" s="356" t="s">
        <v>636</v>
      </c>
      <c r="K543" s="76"/>
      <c r="L543"/>
    </row>
    <row r="544" spans="1:12" s="2" customFormat="1" ht="15">
      <c r="A544" s="244"/>
      <c r="B544" s="244"/>
      <c r="C544" s="350" t="s">
        <v>636</v>
      </c>
      <c r="D544" s="353" t="s">
        <v>333</v>
      </c>
      <c r="E544" s="357" t="s">
        <v>636</v>
      </c>
      <c r="K544" s="76"/>
      <c r="L544"/>
    </row>
    <row r="545" spans="1:12" s="2" customFormat="1" ht="15">
      <c r="A545" s="244"/>
      <c r="B545" s="244"/>
      <c r="C545" s="244"/>
      <c r="D545" s="244"/>
      <c r="E545" s="244"/>
      <c r="K545" s="76"/>
      <c r="L545"/>
    </row>
    <row r="546" spans="1:12" s="2" customFormat="1" ht="15">
      <c r="A546" s="336" t="s">
        <v>261</v>
      </c>
      <c r="B546" s="38" t="str">
        <f>CONCATENATE(Nomenclature!C5,Nomenclature!D5,Nomenclature!E5,Nomenclature!F5,Nomenclature!G5,Nomenclature!H5)</f>
        <v>K*****</v>
      </c>
      <c r="C546" s="333"/>
      <c r="D546" s="244"/>
      <c r="E546" s="244"/>
      <c r="K546" s="76"/>
      <c r="L546"/>
    </row>
    <row r="547" spans="1:12" s="2" customFormat="1" ht="15">
      <c r="A547" s="336" t="s">
        <v>328</v>
      </c>
      <c r="B547" s="38">
        <f>HLOOKUP($B$538,$C$539:$E$544,2)</f>
        <v>3</v>
      </c>
      <c r="C547" s="335"/>
      <c r="D547" s="244"/>
      <c r="E547" s="244"/>
      <c r="K547" s="76"/>
      <c r="L547"/>
    </row>
    <row r="548" spans="1:12" s="2" customFormat="1" ht="15">
      <c r="A548" s="336" t="s">
        <v>329</v>
      </c>
      <c r="B548" s="37">
        <f>$B$539</f>
        <v>1</v>
      </c>
      <c r="C548" s="335"/>
      <c r="D548" s="244"/>
      <c r="E548" s="244"/>
      <c r="K548" s="76"/>
      <c r="L548"/>
    </row>
    <row r="549" spans="1:12" s="2" customFormat="1" ht="15">
      <c r="A549" s="341" t="s">
        <v>638</v>
      </c>
      <c r="B549" s="137" t="str">
        <f>CONCATENATE(B546,B547,B548)</f>
        <v>K*****31</v>
      </c>
      <c r="C549" s="335"/>
      <c r="D549" s="244"/>
      <c r="E549" s="244"/>
      <c r="K549" s="76"/>
      <c r="L549"/>
    </row>
    <row r="550" spans="1:12" s="2" customFormat="1" ht="15">
      <c r="A550" s="342"/>
      <c r="B550" s="339" t="s">
        <v>334</v>
      </c>
      <c r="C550" s="343" t="s">
        <v>462</v>
      </c>
      <c r="D550" s="244"/>
      <c r="E550" s="244"/>
      <c r="K550" s="76"/>
      <c r="L550"/>
    </row>
    <row r="551" spans="1:12" s="2" customFormat="1" ht="15">
      <c r="A551" s="342"/>
      <c r="B551" s="339" t="s">
        <v>262</v>
      </c>
      <c r="C551" s="338" t="s">
        <v>356</v>
      </c>
      <c r="D551" s="244"/>
      <c r="E551" s="244"/>
      <c r="K551" s="76"/>
      <c r="L551"/>
    </row>
    <row r="552" spans="1:12" s="2" customFormat="1" ht="15">
      <c r="A552" s="342"/>
      <c r="B552" s="339" t="s">
        <v>263</v>
      </c>
      <c r="C552" s="343" t="s">
        <v>462</v>
      </c>
      <c r="D552" s="244"/>
      <c r="E552" s="244"/>
      <c r="K552" s="76"/>
      <c r="L552"/>
    </row>
    <row r="553" spans="1:12" s="2" customFormat="1" ht="15">
      <c r="A553" s="342"/>
      <c r="B553" s="339" t="s">
        <v>264</v>
      </c>
      <c r="C553" s="338" t="s">
        <v>362</v>
      </c>
      <c r="D553" s="244"/>
      <c r="E553" s="244"/>
      <c r="K553" s="76"/>
      <c r="L553"/>
    </row>
    <row r="554" spans="1:12" s="2" customFormat="1" ht="15">
      <c r="A554" s="342"/>
      <c r="B554" s="339" t="s">
        <v>265</v>
      </c>
      <c r="C554" s="338" t="s">
        <v>356</v>
      </c>
      <c r="D554" s="244"/>
      <c r="E554" s="244"/>
      <c r="K554" s="76"/>
      <c r="L554"/>
    </row>
    <row r="555" spans="1:12" s="2" customFormat="1" ht="15">
      <c r="A555" s="342"/>
      <c r="B555" s="339" t="s">
        <v>266</v>
      </c>
      <c r="C555" s="338" t="s">
        <v>798</v>
      </c>
      <c r="D555" s="244"/>
      <c r="E555" s="244"/>
      <c r="K555" s="76"/>
      <c r="L555"/>
    </row>
    <row r="556" spans="1:12" s="2" customFormat="1" ht="15">
      <c r="A556" s="342"/>
      <c r="B556" s="339" t="s">
        <v>267</v>
      </c>
      <c r="C556" s="338" t="s">
        <v>346</v>
      </c>
      <c r="D556" s="244"/>
      <c r="E556" s="244"/>
      <c r="K556" s="76"/>
      <c r="L556"/>
    </row>
    <row r="557" spans="1:12" s="2" customFormat="1" ht="15">
      <c r="A557" s="342"/>
      <c r="B557" s="339" t="s">
        <v>324</v>
      </c>
      <c r="C557" s="343" t="s">
        <v>462</v>
      </c>
      <c r="D557" s="244"/>
      <c r="E557" s="244"/>
      <c r="K557" s="76"/>
      <c r="L557"/>
    </row>
    <row r="558" spans="1:12" s="2" customFormat="1" ht="15">
      <c r="A558" s="342"/>
      <c r="B558" s="339" t="s">
        <v>268</v>
      </c>
      <c r="C558" s="338" t="s">
        <v>466</v>
      </c>
      <c r="D558" s="244"/>
      <c r="E558" s="344"/>
      <c r="K558" s="76"/>
      <c r="L558"/>
    </row>
    <row r="559" spans="1:12" s="2" customFormat="1" ht="15">
      <c r="A559" s="342"/>
      <c r="B559" s="339" t="s">
        <v>269</v>
      </c>
      <c r="C559" s="338" t="s">
        <v>346</v>
      </c>
      <c r="D559" s="244"/>
      <c r="E559" s="344"/>
      <c r="K559" s="76"/>
      <c r="L559"/>
    </row>
    <row r="560" spans="1:12" s="2" customFormat="1" ht="15">
      <c r="A560" s="342"/>
      <c r="B560" s="339" t="s">
        <v>270</v>
      </c>
      <c r="C560" s="338" t="s">
        <v>458</v>
      </c>
      <c r="D560" s="244"/>
      <c r="E560" s="344"/>
      <c r="K560" s="76"/>
      <c r="L560"/>
    </row>
    <row r="561" spans="1:12" s="2" customFormat="1" ht="15">
      <c r="A561" s="342"/>
      <c r="B561" s="339" t="s">
        <v>271</v>
      </c>
      <c r="C561" s="338" t="s">
        <v>346</v>
      </c>
      <c r="D561" s="244"/>
      <c r="E561" s="344"/>
      <c r="K561" s="76"/>
      <c r="L561"/>
    </row>
    <row r="562" spans="1:12" s="2" customFormat="1" ht="15">
      <c r="A562" s="342"/>
      <c r="B562" s="339" t="s">
        <v>149</v>
      </c>
      <c r="C562" s="343" t="s">
        <v>462</v>
      </c>
      <c r="D562" s="244"/>
      <c r="E562" s="344"/>
      <c r="K562" s="76"/>
      <c r="L562"/>
    </row>
    <row r="563" spans="1:12" s="2" customFormat="1" ht="15">
      <c r="A563" s="342"/>
      <c r="B563" s="339" t="s">
        <v>272</v>
      </c>
      <c r="C563" s="338" t="s">
        <v>466</v>
      </c>
      <c r="D563" s="244"/>
      <c r="E563" s="244"/>
      <c r="K563" s="76"/>
      <c r="L563"/>
    </row>
    <row r="564" spans="1:12" s="2" customFormat="1" ht="15">
      <c r="A564" s="342"/>
      <c r="B564" s="339" t="s">
        <v>273</v>
      </c>
      <c r="C564" s="338" t="s">
        <v>346</v>
      </c>
      <c r="D564" s="244"/>
      <c r="E564" s="244"/>
      <c r="K564" s="76"/>
      <c r="L564"/>
    </row>
    <row r="565" spans="1:12" s="2" customFormat="1" ht="15">
      <c r="A565" s="342"/>
      <c r="B565" s="339" t="s">
        <v>274</v>
      </c>
      <c r="C565" s="338" t="s">
        <v>458</v>
      </c>
      <c r="D565" s="244"/>
      <c r="E565" s="244"/>
      <c r="K565" s="76"/>
      <c r="L565"/>
    </row>
    <row r="566" spans="1:12" s="2" customFormat="1" ht="15">
      <c r="A566" s="342"/>
      <c r="B566" s="339" t="s">
        <v>275</v>
      </c>
      <c r="C566" s="338" t="s">
        <v>402</v>
      </c>
      <c r="D566" s="244"/>
      <c r="E566" s="244"/>
      <c r="K566" s="76"/>
      <c r="L566"/>
    </row>
    <row r="567" spans="1:12" s="2" customFormat="1" ht="15">
      <c r="A567" s="342"/>
      <c r="B567" s="339" t="s">
        <v>258</v>
      </c>
      <c r="C567" s="343" t="s">
        <v>462</v>
      </c>
      <c r="D567" s="244"/>
      <c r="E567" s="244"/>
      <c r="K567" s="76"/>
      <c r="L567"/>
    </row>
    <row r="568" spans="1:12" s="2" customFormat="1" ht="15">
      <c r="A568" s="342"/>
      <c r="B568" s="339" t="s">
        <v>276</v>
      </c>
      <c r="C568" s="338" t="s">
        <v>367</v>
      </c>
      <c r="D568" s="244"/>
      <c r="E568" s="244"/>
      <c r="K568" s="76"/>
      <c r="L568"/>
    </row>
    <row r="569" spans="1:12" s="2" customFormat="1" ht="15">
      <c r="A569" s="342"/>
      <c r="B569" s="339" t="s">
        <v>277</v>
      </c>
      <c r="C569" s="338" t="s">
        <v>402</v>
      </c>
      <c r="D569" s="244"/>
      <c r="E569" s="244"/>
      <c r="K569" s="76"/>
      <c r="L569"/>
    </row>
    <row r="570" spans="1:12" s="2" customFormat="1" ht="15">
      <c r="A570" s="342"/>
      <c r="B570" s="339" t="s">
        <v>278</v>
      </c>
      <c r="C570" s="338" t="s">
        <v>394</v>
      </c>
      <c r="D570" s="244"/>
      <c r="E570" s="244"/>
      <c r="K570" s="76"/>
      <c r="L570"/>
    </row>
    <row r="571" spans="1:12" s="2" customFormat="1" ht="15">
      <c r="A571" s="342"/>
      <c r="B571" s="339" t="s">
        <v>279</v>
      </c>
      <c r="C571" s="338" t="s">
        <v>346</v>
      </c>
      <c r="D571" s="244"/>
      <c r="E571" s="244"/>
      <c r="K571" s="76"/>
      <c r="L571"/>
    </row>
    <row r="572" spans="1:12" s="2" customFormat="1" ht="15">
      <c r="A572" s="342"/>
      <c r="B572" s="339" t="s">
        <v>146</v>
      </c>
      <c r="C572" s="343" t="s">
        <v>462</v>
      </c>
      <c r="D572" s="244"/>
      <c r="E572" s="244"/>
      <c r="K572" s="76"/>
      <c r="L572"/>
    </row>
    <row r="573" spans="1:12" s="2" customFormat="1" ht="15">
      <c r="A573" s="342"/>
      <c r="B573" s="339" t="s">
        <v>280</v>
      </c>
      <c r="C573" s="338" t="s">
        <v>466</v>
      </c>
      <c r="D573" s="244"/>
      <c r="E573" s="244"/>
      <c r="K573" s="76"/>
      <c r="L573"/>
    </row>
    <row r="574" spans="1:12" s="2" customFormat="1" ht="15">
      <c r="A574" s="342"/>
      <c r="B574" s="339" t="s">
        <v>281</v>
      </c>
      <c r="C574" s="338" t="s">
        <v>346</v>
      </c>
      <c r="D574" s="244"/>
      <c r="E574" s="244"/>
      <c r="K574" s="76"/>
      <c r="L574"/>
    </row>
    <row r="575" spans="1:12" s="2" customFormat="1" ht="15">
      <c r="A575" s="342"/>
      <c r="B575" s="339" t="s">
        <v>282</v>
      </c>
      <c r="C575" s="338" t="s">
        <v>458</v>
      </c>
      <c r="D575" s="244"/>
      <c r="E575" s="244"/>
      <c r="K575" s="76"/>
      <c r="L575"/>
    </row>
    <row r="576" spans="1:12" s="2" customFormat="1" ht="15">
      <c r="A576" s="342"/>
      <c r="B576" s="339" t="s">
        <v>283</v>
      </c>
      <c r="C576" s="338" t="s">
        <v>402</v>
      </c>
      <c r="D576" s="244"/>
      <c r="E576" s="244"/>
      <c r="K576" s="76"/>
      <c r="L576"/>
    </row>
    <row r="577" spans="1:12" s="2" customFormat="1" ht="15">
      <c r="A577" s="342"/>
      <c r="B577" s="339" t="s">
        <v>147</v>
      </c>
      <c r="C577" s="343" t="s">
        <v>462</v>
      </c>
      <c r="D577" s="244"/>
      <c r="E577" s="244"/>
      <c r="K577" s="76"/>
      <c r="L577"/>
    </row>
    <row r="578" spans="1:12" s="2" customFormat="1" ht="15">
      <c r="A578" s="342"/>
      <c r="B578" s="339" t="s">
        <v>284</v>
      </c>
      <c r="C578" s="338" t="s">
        <v>367</v>
      </c>
      <c r="D578" s="244"/>
      <c r="E578" s="344"/>
      <c r="K578" s="76"/>
      <c r="L578"/>
    </row>
    <row r="579" spans="1:12" s="2" customFormat="1" ht="15">
      <c r="A579" s="342"/>
      <c r="B579" s="339" t="s">
        <v>285</v>
      </c>
      <c r="C579" s="338" t="s">
        <v>402</v>
      </c>
      <c r="D579" s="244"/>
      <c r="E579" s="344"/>
      <c r="K579" s="76"/>
      <c r="L579"/>
    </row>
    <row r="580" spans="1:12" s="2" customFormat="1" ht="15">
      <c r="A580" s="342"/>
      <c r="B580" s="339" t="s">
        <v>286</v>
      </c>
      <c r="C580" s="338" t="s">
        <v>394</v>
      </c>
      <c r="D580" s="244"/>
      <c r="E580" s="344"/>
      <c r="K580" s="76"/>
      <c r="L580"/>
    </row>
    <row r="581" spans="1:12" s="2" customFormat="1" ht="15">
      <c r="A581" s="342"/>
      <c r="B581" s="339" t="s">
        <v>287</v>
      </c>
      <c r="C581" s="338" t="s">
        <v>356</v>
      </c>
      <c r="D581" s="244"/>
      <c r="E581" s="344"/>
      <c r="K581" s="76"/>
      <c r="L581"/>
    </row>
    <row r="582" spans="1:12" s="2" customFormat="1" ht="15">
      <c r="A582" s="342"/>
      <c r="B582" s="339" t="s">
        <v>148</v>
      </c>
      <c r="C582" s="343" t="s">
        <v>462</v>
      </c>
      <c r="D582" s="244"/>
      <c r="E582" s="344"/>
      <c r="K582" s="76"/>
      <c r="L582"/>
    </row>
    <row r="583" spans="1:12" s="2" customFormat="1" ht="15">
      <c r="A583" s="342"/>
      <c r="B583" s="339" t="s">
        <v>288</v>
      </c>
      <c r="C583" s="338" t="s">
        <v>362</v>
      </c>
      <c r="D583" s="244"/>
      <c r="E583" s="244"/>
      <c r="K583" s="76"/>
      <c r="L583"/>
    </row>
    <row r="584" spans="1:12" s="2" customFormat="1" ht="15">
      <c r="A584" s="342"/>
      <c r="B584" s="339" t="s">
        <v>289</v>
      </c>
      <c r="C584" s="338" t="s">
        <v>356</v>
      </c>
      <c r="D584" s="244"/>
      <c r="E584" s="244"/>
      <c r="K584" s="76"/>
      <c r="L584"/>
    </row>
    <row r="585" spans="1:12" s="2" customFormat="1" ht="15">
      <c r="A585" s="342"/>
      <c r="B585" s="339" t="s">
        <v>290</v>
      </c>
      <c r="C585" s="338" t="s">
        <v>798</v>
      </c>
      <c r="D585" s="244"/>
      <c r="E585" s="244"/>
      <c r="K585" s="76"/>
      <c r="L585"/>
    </row>
    <row r="586" spans="1:12" s="2" customFormat="1" ht="15">
      <c r="A586" s="342"/>
      <c r="B586" s="339" t="s">
        <v>291</v>
      </c>
      <c r="C586" s="338" t="s">
        <v>356</v>
      </c>
      <c r="D586" s="244"/>
      <c r="E586" s="244"/>
      <c r="K586" s="76"/>
      <c r="L586"/>
    </row>
    <row r="587" spans="1:12" s="2" customFormat="1" ht="15">
      <c r="A587" s="342"/>
      <c r="B587" s="339" t="s">
        <v>259</v>
      </c>
      <c r="C587" s="343" t="s">
        <v>462</v>
      </c>
      <c r="D587" s="244"/>
      <c r="E587" s="244"/>
      <c r="K587" s="76"/>
      <c r="L587"/>
    </row>
    <row r="588" spans="1:12" s="2" customFormat="1" ht="15">
      <c r="A588" s="342"/>
      <c r="B588" s="339" t="s">
        <v>292</v>
      </c>
      <c r="C588" s="338" t="s">
        <v>362</v>
      </c>
      <c r="D588" s="244"/>
      <c r="E588" s="244"/>
      <c r="K588" s="76"/>
      <c r="L588"/>
    </row>
    <row r="589" spans="1:12" s="2" customFormat="1" ht="15">
      <c r="A589" s="342"/>
      <c r="B589" s="339" t="s">
        <v>293</v>
      </c>
      <c r="C589" s="338" t="s">
        <v>356</v>
      </c>
      <c r="D589" s="244"/>
      <c r="E589" s="244"/>
      <c r="K589" s="76"/>
      <c r="L589"/>
    </row>
    <row r="590" spans="1:12" s="2" customFormat="1" ht="15">
      <c r="A590" s="342"/>
      <c r="B590" s="339" t="s">
        <v>294</v>
      </c>
      <c r="C590" s="338" t="s">
        <v>798</v>
      </c>
      <c r="D590" s="244"/>
      <c r="E590" s="244"/>
      <c r="K590" s="76"/>
      <c r="L590"/>
    </row>
    <row r="591" spans="1:12" s="2" customFormat="1" ht="15">
      <c r="A591" s="342"/>
      <c r="B591" s="339" t="s">
        <v>295</v>
      </c>
      <c r="C591" s="343" t="s">
        <v>462</v>
      </c>
      <c r="D591" s="244"/>
      <c r="E591" s="244"/>
      <c r="K591" s="76"/>
      <c r="L591"/>
    </row>
    <row r="592" spans="1:12" s="2" customFormat="1" ht="15">
      <c r="A592" s="342"/>
      <c r="B592" s="339" t="s">
        <v>296</v>
      </c>
      <c r="C592" s="338" t="s">
        <v>362</v>
      </c>
      <c r="D592" s="244"/>
      <c r="E592" s="244"/>
      <c r="K592" s="76"/>
      <c r="L592"/>
    </row>
    <row r="593" spans="1:12" s="2" customFormat="1" ht="15">
      <c r="A593" s="342"/>
      <c r="B593" s="339" t="s">
        <v>297</v>
      </c>
      <c r="C593" s="338" t="s">
        <v>356</v>
      </c>
      <c r="D593" s="244"/>
      <c r="E593" s="244"/>
      <c r="K593" s="76"/>
      <c r="L593"/>
    </row>
    <row r="594" spans="1:12" s="2" customFormat="1" ht="15">
      <c r="A594" s="342"/>
      <c r="B594" s="339" t="s">
        <v>298</v>
      </c>
      <c r="C594" s="338" t="s">
        <v>798</v>
      </c>
      <c r="D594" s="244"/>
      <c r="E594" s="244"/>
      <c r="K594" s="76"/>
      <c r="L594"/>
    </row>
    <row r="595" spans="1:12" s="2" customFormat="1" ht="15">
      <c r="A595" s="342"/>
      <c r="B595" s="339" t="s">
        <v>299</v>
      </c>
      <c r="C595" s="338" t="s">
        <v>402</v>
      </c>
      <c r="D595" s="244"/>
      <c r="E595" s="244"/>
      <c r="K595" s="76"/>
      <c r="L595"/>
    </row>
    <row r="596" spans="1:12" s="2" customFormat="1" ht="15">
      <c r="A596" s="342"/>
      <c r="B596" s="339" t="s">
        <v>260</v>
      </c>
      <c r="C596" s="343" t="s">
        <v>462</v>
      </c>
      <c r="D596" s="244"/>
      <c r="E596" s="244"/>
      <c r="K596" s="76"/>
      <c r="L596"/>
    </row>
    <row r="597" spans="1:12" s="2" customFormat="1" ht="15">
      <c r="A597" s="342"/>
      <c r="B597" s="339" t="s">
        <v>300</v>
      </c>
      <c r="C597" s="338" t="s">
        <v>367</v>
      </c>
      <c r="D597" s="244"/>
      <c r="E597" s="244"/>
      <c r="K597" s="76"/>
      <c r="L597"/>
    </row>
    <row r="598" spans="1:12" s="2" customFormat="1" ht="15">
      <c r="A598" s="342"/>
      <c r="B598" s="339" t="s">
        <v>301</v>
      </c>
      <c r="C598" s="338" t="s">
        <v>402</v>
      </c>
      <c r="D598" s="244"/>
      <c r="E598" s="244"/>
      <c r="K598" s="76"/>
      <c r="L598"/>
    </row>
    <row r="599" spans="1:12" s="2" customFormat="1" ht="15">
      <c r="A599" s="342"/>
      <c r="B599" s="339" t="s">
        <v>302</v>
      </c>
      <c r="C599" s="338" t="s">
        <v>394</v>
      </c>
      <c r="D599" s="244"/>
      <c r="E599" s="244"/>
      <c r="K599" s="76"/>
      <c r="L599"/>
    </row>
    <row r="600" spans="1:12" s="2" customFormat="1" ht="15">
      <c r="A600" s="342"/>
      <c r="B600" s="339" t="s">
        <v>303</v>
      </c>
      <c r="C600" s="338" t="s">
        <v>402</v>
      </c>
      <c r="D600" s="244"/>
      <c r="E600" s="244"/>
      <c r="K600" s="76"/>
      <c r="L600"/>
    </row>
    <row r="601" spans="1:12" s="2" customFormat="1" ht="15">
      <c r="A601" s="342"/>
      <c r="B601" s="339" t="s">
        <v>151</v>
      </c>
      <c r="C601" s="343" t="s">
        <v>462</v>
      </c>
      <c r="D601" s="244"/>
      <c r="E601" s="244"/>
      <c r="K601" s="76"/>
      <c r="L601"/>
    </row>
    <row r="602" spans="1:12" s="2" customFormat="1" ht="15">
      <c r="A602" s="342"/>
      <c r="B602" s="339" t="s">
        <v>304</v>
      </c>
      <c r="C602" s="338" t="s">
        <v>367</v>
      </c>
      <c r="D602" s="244"/>
      <c r="E602" s="244"/>
      <c r="K602" s="76"/>
      <c r="L602"/>
    </row>
    <row r="603" spans="1:12" s="2" customFormat="1" ht="15">
      <c r="A603" s="342"/>
      <c r="B603" s="339" t="s">
        <v>305</v>
      </c>
      <c r="C603" s="338" t="s">
        <v>402</v>
      </c>
      <c r="D603" s="244"/>
      <c r="E603" s="244"/>
      <c r="K603" s="76"/>
      <c r="L603"/>
    </row>
    <row r="604" spans="1:12" s="2" customFormat="1" ht="15">
      <c r="A604" s="342"/>
      <c r="B604" s="339" t="s">
        <v>306</v>
      </c>
      <c r="C604" s="338" t="s">
        <v>394</v>
      </c>
      <c r="D604" s="244"/>
      <c r="E604" s="244"/>
      <c r="K604" s="76"/>
      <c r="L604"/>
    </row>
    <row r="605" spans="1:12" s="2" customFormat="1" ht="15">
      <c r="A605" s="342"/>
      <c r="B605" s="339" t="s">
        <v>307</v>
      </c>
      <c r="C605" s="338" t="s">
        <v>402</v>
      </c>
      <c r="D605" s="244"/>
      <c r="E605" s="244"/>
      <c r="K605" s="76"/>
      <c r="L605"/>
    </row>
    <row r="606" spans="1:12" s="2" customFormat="1" ht="15">
      <c r="A606" s="342"/>
      <c r="B606" s="339" t="s">
        <v>251</v>
      </c>
      <c r="C606" s="343" t="s">
        <v>462</v>
      </c>
      <c r="D606" s="244"/>
      <c r="E606" s="244"/>
      <c r="K606" s="76"/>
      <c r="L606"/>
    </row>
    <row r="607" spans="1:12" s="2" customFormat="1" ht="15">
      <c r="A607" s="342"/>
      <c r="B607" s="339" t="s">
        <v>308</v>
      </c>
      <c r="C607" s="338" t="s">
        <v>367</v>
      </c>
      <c r="D607" s="244"/>
      <c r="E607" s="244"/>
      <c r="K607" s="76"/>
      <c r="L607"/>
    </row>
    <row r="608" spans="1:12" s="2" customFormat="1" ht="15">
      <c r="A608" s="342"/>
      <c r="B608" s="339" t="s">
        <v>309</v>
      </c>
      <c r="C608" s="338" t="s">
        <v>402</v>
      </c>
      <c r="D608" s="244"/>
      <c r="E608" s="244"/>
      <c r="K608" s="76"/>
      <c r="L608"/>
    </row>
    <row r="609" spans="1:12" s="2" customFormat="1" ht="15">
      <c r="A609" s="342"/>
      <c r="B609" s="339" t="s">
        <v>310</v>
      </c>
      <c r="C609" s="338" t="s">
        <v>394</v>
      </c>
      <c r="D609" s="244"/>
      <c r="E609" s="244"/>
      <c r="K609" s="76"/>
      <c r="L609"/>
    </row>
    <row r="610" spans="1:12" s="2" customFormat="1" ht="15">
      <c r="A610" s="342"/>
      <c r="B610" s="339" t="s">
        <v>311</v>
      </c>
      <c r="C610" s="338" t="s">
        <v>356</v>
      </c>
      <c r="D610" s="244"/>
      <c r="E610" s="244"/>
      <c r="K610" s="76"/>
      <c r="L610"/>
    </row>
    <row r="611" spans="1:12" s="2" customFormat="1" ht="15">
      <c r="A611" s="342"/>
      <c r="B611" s="339" t="s">
        <v>255</v>
      </c>
      <c r="C611" s="343" t="s">
        <v>462</v>
      </c>
      <c r="D611" s="244"/>
      <c r="E611" s="244"/>
      <c r="K611" s="76"/>
      <c r="L611"/>
    </row>
    <row r="612" spans="1:12" s="2" customFormat="1" ht="15">
      <c r="A612" s="342"/>
      <c r="B612" s="339" t="s">
        <v>312</v>
      </c>
      <c r="C612" s="338" t="s">
        <v>362</v>
      </c>
      <c r="D612" s="244"/>
      <c r="E612" s="244"/>
      <c r="K612" s="76"/>
      <c r="L612"/>
    </row>
    <row r="613" spans="1:12" s="2" customFormat="1" ht="15">
      <c r="A613" s="342"/>
      <c r="B613" s="339" t="s">
        <v>313</v>
      </c>
      <c r="C613" s="338" t="s">
        <v>356</v>
      </c>
      <c r="D613" s="244"/>
      <c r="E613" s="244"/>
      <c r="K613" s="76"/>
      <c r="L613"/>
    </row>
    <row r="614" spans="1:12" s="2" customFormat="1" ht="15">
      <c r="A614" s="342"/>
      <c r="B614" s="339" t="s">
        <v>314</v>
      </c>
      <c r="C614" s="338" t="s">
        <v>798</v>
      </c>
      <c r="D614" s="244"/>
      <c r="E614" s="244"/>
      <c r="K614" s="76"/>
      <c r="L614"/>
    </row>
    <row r="615" spans="1:12" s="2" customFormat="1" ht="15">
      <c r="A615" s="342"/>
      <c r="B615" s="339" t="s">
        <v>315</v>
      </c>
      <c r="C615" s="338" t="s">
        <v>356</v>
      </c>
      <c r="D615" s="244"/>
      <c r="E615" s="244"/>
      <c r="K615" s="76"/>
      <c r="L615"/>
    </row>
    <row r="616" spans="1:12" s="2" customFormat="1" ht="15">
      <c r="A616" s="342"/>
      <c r="B616" s="339" t="s">
        <v>256</v>
      </c>
      <c r="C616" s="343" t="s">
        <v>462</v>
      </c>
      <c r="D616" s="244"/>
      <c r="E616" s="244"/>
      <c r="K616" s="76"/>
      <c r="L616"/>
    </row>
    <row r="617" spans="1:12" s="2" customFormat="1" ht="15">
      <c r="A617" s="342"/>
      <c r="B617" s="339" t="s">
        <v>316</v>
      </c>
      <c r="C617" s="338" t="s">
        <v>362</v>
      </c>
      <c r="D617" s="244"/>
      <c r="E617" s="244"/>
      <c r="K617" s="76"/>
      <c r="L617"/>
    </row>
    <row r="618" spans="1:12" s="2" customFormat="1" ht="15">
      <c r="A618" s="342"/>
      <c r="B618" s="339" t="s">
        <v>317</v>
      </c>
      <c r="C618" s="338" t="s">
        <v>356</v>
      </c>
      <c r="D618" s="244"/>
      <c r="E618" s="244"/>
      <c r="K618" s="76"/>
      <c r="L618"/>
    </row>
    <row r="619" spans="1:12" s="2" customFormat="1" ht="15">
      <c r="A619" s="342"/>
      <c r="B619" s="339" t="s">
        <v>318</v>
      </c>
      <c r="C619" s="338" t="s">
        <v>798</v>
      </c>
      <c r="D619" s="244"/>
      <c r="E619" s="244"/>
      <c r="K619" s="76"/>
      <c r="L619"/>
    </row>
    <row r="620" spans="1:12" s="2" customFormat="1" ht="15">
      <c r="A620" s="342"/>
      <c r="B620" s="339" t="s">
        <v>319</v>
      </c>
      <c r="C620" s="338" t="s">
        <v>346</v>
      </c>
      <c r="D620" s="244"/>
      <c r="E620" s="244"/>
      <c r="K620" s="76"/>
      <c r="L620"/>
    </row>
    <row r="621" spans="1:12" s="2" customFormat="1" ht="15">
      <c r="A621" s="342"/>
      <c r="B621" s="339" t="s">
        <v>257</v>
      </c>
      <c r="C621" s="343" t="s">
        <v>462</v>
      </c>
      <c r="D621" s="244"/>
      <c r="E621" s="244"/>
      <c r="K621" s="76"/>
      <c r="L621"/>
    </row>
    <row r="622" spans="1:12" s="2" customFormat="1" ht="15">
      <c r="A622" s="342"/>
      <c r="B622" s="339" t="s">
        <v>320</v>
      </c>
      <c r="C622" s="338" t="s">
        <v>466</v>
      </c>
      <c r="D622" s="244"/>
      <c r="E622" s="244"/>
      <c r="K622" s="76"/>
      <c r="L622"/>
    </row>
    <row r="623" spans="1:12" s="2" customFormat="1" ht="15">
      <c r="A623" s="342"/>
      <c r="B623" s="339" t="s">
        <v>321</v>
      </c>
      <c r="C623" s="338" t="s">
        <v>346</v>
      </c>
      <c r="D623" s="244"/>
      <c r="E623" s="244"/>
      <c r="K623" s="76"/>
      <c r="L623"/>
    </row>
    <row r="624" spans="1:12" s="2" customFormat="1" ht="15">
      <c r="A624" s="342"/>
      <c r="B624" s="339" t="s">
        <v>322</v>
      </c>
      <c r="C624" s="338" t="s">
        <v>458</v>
      </c>
      <c r="D624" s="244"/>
      <c r="E624" s="244"/>
      <c r="K624" s="76"/>
      <c r="L624"/>
    </row>
    <row r="625" spans="1:12" s="2" customFormat="1" ht="15">
      <c r="A625" s="342"/>
      <c r="B625" s="339" t="s">
        <v>232</v>
      </c>
      <c r="C625" s="338" t="s">
        <v>346</v>
      </c>
      <c r="D625" s="244"/>
      <c r="E625" s="244"/>
      <c r="K625" s="76"/>
      <c r="L625"/>
    </row>
    <row r="626" spans="1:12" s="2" customFormat="1" ht="15">
      <c r="A626" s="342"/>
      <c r="B626" s="339" t="s">
        <v>233</v>
      </c>
      <c r="C626" s="343" t="s">
        <v>462</v>
      </c>
      <c r="D626" s="244"/>
      <c r="E626" s="244"/>
      <c r="K626" s="76"/>
      <c r="L626"/>
    </row>
    <row r="627" spans="1:12" s="2" customFormat="1" ht="15">
      <c r="A627" s="342"/>
      <c r="B627" s="339" t="s">
        <v>234</v>
      </c>
      <c r="C627" s="338" t="s">
        <v>466</v>
      </c>
      <c r="D627" s="244"/>
      <c r="E627" s="244"/>
      <c r="K627" s="76"/>
      <c r="L627"/>
    </row>
    <row r="628" spans="1:12" s="2" customFormat="1" ht="15">
      <c r="A628" s="342"/>
      <c r="B628" s="339" t="s">
        <v>235</v>
      </c>
      <c r="C628" s="338" t="s">
        <v>346</v>
      </c>
      <c r="D628" s="244"/>
      <c r="E628" s="244"/>
      <c r="K628" s="76"/>
      <c r="L628"/>
    </row>
    <row r="629" spans="1:12" s="2" customFormat="1" ht="15">
      <c r="A629" s="345"/>
      <c r="B629" s="340" t="s">
        <v>236</v>
      </c>
      <c r="C629" s="346" t="s">
        <v>458</v>
      </c>
      <c r="D629" s="244"/>
      <c r="E629" s="244"/>
      <c r="K629" s="76"/>
      <c r="L629"/>
    </row>
  </sheetData>
  <sheetProtection password="C927" sheet="1" objects="1" scenarios="1"/>
  <printOptions/>
  <pageMargins left="0.75" right="0.75" top="1" bottom="1" header="0.5" footer="0.5"/>
  <pageSetup fitToHeight="0" horizontalDpi="300" verticalDpi="300" orientation="landscape" paperSize="9" scale="75" r:id="rId1"/>
  <headerFooter alignWithMargins="0">
    <oddHeader>&amp;C&amp;A</oddHeader>
    <oddFooter>&amp;L&amp;F&amp;CPage &amp;P&amp;R&amp;D</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2:C16"/>
  <sheetViews>
    <sheetView workbookViewId="0" topLeftCell="A1">
      <selection activeCell="A1" sqref="A1"/>
    </sheetView>
  </sheetViews>
  <sheetFormatPr defaultColWidth="9.00390625" defaultRowHeight="14.25"/>
  <cols>
    <col min="1" max="3" width="20.625" style="0" customWidth="1"/>
  </cols>
  <sheetData>
    <row r="2" spans="1:3" ht="14.25">
      <c r="A2" s="131" t="s">
        <v>53</v>
      </c>
      <c r="B2" s="134" t="s">
        <v>54</v>
      </c>
      <c r="C2" s="135"/>
    </row>
    <row r="3" spans="1:3" ht="14.25">
      <c r="A3" s="132"/>
      <c r="B3" s="131" t="s">
        <v>417</v>
      </c>
      <c r="C3" s="131" t="s">
        <v>55</v>
      </c>
    </row>
    <row r="4" spans="1:3" ht="14.25">
      <c r="A4" s="132"/>
      <c r="B4" s="136"/>
      <c r="C4" s="136"/>
    </row>
    <row r="5" spans="1:3" ht="14.25">
      <c r="A5" s="136" t="s">
        <v>56</v>
      </c>
      <c r="B5" s="136" t="s">
        <v>57</v>
      </c>
      <c r="C5" s="136" t="s">
        <v>58</v>
      </c>
    </row>
    <row r="6" spans="1:3" ht="14.25">
      <c r="A6" s="136" t="s">
        <v>59</v>
      </c>
      <c r="B6" s="136" t="s">
        <v>60</v>
      </c>
      <c r="C6" s="136" t="s">
        <v>61</v>
      </c>
    </row>
    <row r="7" spans="1:3" ht="14.25">
      <c r="A7" s="136" t="s">
        <v>62</v>
      </c>
      <c r="B7" s="136" t="s">
        <v>63</v>
      </c>
      <c r="C7" s="136" t="s">
        <v>64</v>
      </c>
    </row>
    <row r="8" spans="1:3" ht="14.25">
      <c r="A8" s="136" t="s">
        <v>65</v>
      </c>
      <c r="B8" s="136" t="s">
        <v>66</v>
      </c>
      <c r="C8" s="136" t="s">
        <v>67</v>
      </c>
    </row>
    <row r="9" spans="1:3" ht="14.25">
      <c r="A9" s="136"/>
      <c r="B9" s="136"/>
      <c r="C9" s="136"/>
    </row>
    <row r="10" spans="1:3" ht="14.25">
      <c r="A10" s="136" t="s">
        <v>68</v>
      </c>
      <c r="B10" s="136" t="s">
        <v>69</v>
      </c>
      <c r="C10" s="136" t="s">
        <v>70</v>
      </c>
    </row>
    <row r="11" spans="1:3" ht="14.25">
      <c r="A11" s="136" t="s">
        <v>71</v>
      </c>
      <c r="B11" s="136" t="s">
        <v>72</v>
      </c>
      <c r="C11" s="136" t="s">
        <v>73</v>
      </c>
    </row>
    <row r="12" spans="1:3" ht="14.25">
      <c r="A12" s="136" t="s">
        <v>74</v>
      </c>
      <c r="B12" s="136" t="s">
        <v>75</v>
      </c>
      <c r="C12" s="136" t="s">
        <v>76</v>
      </c>
    </row>
    <row r="13" spans="1:3" ht="14.25">
      <c r="A13" s="136" t="s">
        <v>77</v>
      </c>
      <c r="B13" s="136" t="s">
        <v>78</v>
      </c>
      <c r="C13" s="136" t="s">
        <v>79</v>
      </c>
    </row>
    <row r="14" spans="1:3" ht="14.25">
      <c r="A14" s="133"/>
      <c r="B14" s="133"/>
      <c r="C14" s="133"/>
    </row>
    <row r="16" ht="14.25">
      <c r="A16" t="s">
        <v>80</v>
      </c>
    </row>
  </sheetData>
  <sheetProtection sheet="1" objects="1" scenarios="1"/>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r:id="rId1"/>
  <headerFooter alignWithMargins="0">
    <oddHeader>&amp;C&amp;A</oddHeader>
    <oddFooter>&amp;L&amp;F&amp;CPage &amp;P&amp;R&amp;D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K_ser_2. cortec</dc:title>
  <dc:subject>&amp;lt;p&amp;gt;Old-New Model Nos  Lookup  Reset  Model Detail  Nomenclature  New Cortec  Disclaimer  Input_Area  Input_Area  Input_Area1  Input_Area2  Nomenclature  Nomenclature  Nomenclature  Issue : 066 - As at 12/06/00 - 5A &amp;amp;quot;Special&amp;amp;quot; CT variant of KCGG14105 added to options.  : 10KCGG14101  KCGG34101H90E**  5 Amp - 4 Phase C.T's. &amp;lt;/p&amp;gt;</dc:subject>
  <dc:creator>Tian Tian</dc:creator>
  <cp:keywords/>
  <dc:description>&amp;lt;p&amp;gt;Old-New Model Nos  Lookup  Reset  Model Detail  Nomenclature  New Cortec  Disclaimer  Input_Area  Input_Area  Input_Area1  Input_Area2  Nomenclature  Nomenclature  Nomenclature  Issue : 066 - As at 12/06/00 - 5A &amp;amp;quot;Special&amp;amp;quot; CT variant of KCGG14105 added to options.  : 10KCGG14101  KCGG34101H90E**  5 Amp - 4 Phase C.T's. &amp;lt;/p&amp;gt;</dc:description>
  <cp:lastModifiedBy>Tian Tian</cp:lastModifiedBy>
  <cp:lastPrinted>2010-09-29T10:50:31Z</cp:lastPrinted>
  <dcterms:modified xsi:type="dcterms:W3CDTF">2010-09-29T10:50:46Z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EktContentLangua">
    <vt:i4>2057</vt:i4>
  </property>
  <property fmtid="{D5CDD505-2E9C-101B-9397-08002B2CF9AE}" pid="4" name="EktQuickLi">
    <vt:lpwstr>://www.alstom.com/DownloadAsset.aspx?id=8589945364</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&amp;lt;p&amp;gt;Old-New Model Nos  Lookup  Reset  Model Detail  Nomenclature  New Cortec  Disclaimer  Input_Area  Input_Area  Input_Area1  Input_Area2  Nomenclature  Nomenclature  Nomenclature  Issue : 066 - As at 12/06/00 - 5A &amp;amp;quot;Special&amp;amp;quot; CT variant of KCGG14105 added to options.  : 10KCGG14101  KCGG34101H90E**  5 Amp - 4 Phase C.T's. &amp;lt;/p&amp;gt;</vt:lpwstr>
  </property>
  <property fmtid="{D5CDD505-2E9C-101B-9397-08002B2CF9AE}" pid="9" name="EktExpiryTy">
    <vt:i4>1</vt:i4>
  </property>
  <property fmtid="{D5CDD505-2E9C-101B-9397-08002B2CF9AE}" pid="10" name="EktDateCreat">
    <vt:filetime>2011-03-02T11:56:09Z</vt:filetime>
  </property>
  <property fmtid="{D5CDD505-2E9C-101B-9397-08002B2CF9AE}" pid="11" name="EktDateModifi">
    <vt:filetime>2011-03-02T11:56:11Z</vt:filetime>
  </property>
  <property fmtid="{D5CDD505-2E9C-101B-9397-08002B2CF9AE}" pid="12" name="EktTaxCatego">
    <vt:lpwstr> #eksep# \Corporate Site Structure\Grid\Solutions\Automation\SAS #eksep# </vt:lpwstr>
  </property>
  <property fmtid="{D5CDD505-2E9C-101B-9397-08002B2CF9AE}" pid="13" name="EktDisabledTaxCatego">
    <vt:lpwstr/>
  </property>
  <property fmtid="{D5CDD505-2E9C-101B-9397-08002B2CF9AE}" pid="14" name="EktCmsSi">
    <vt:i4>295936</vt:i4>
  </property>
  <property fmtid="{D5CDD505-2E9C-101B-9397-08002B2CF9AE}" pid="15" name="EktSearchab">
    <vt:i4>1</vt:i4>
  </property>
  <property fmtid="{D5CDD505-2E9C-101B-9397-08002B2CF9AE}" pid="16" name="EktEDescripti">
    <vt:lpwstr>Summary &amp;lt;p&amp;gt;Old-New Model Nos  Lookup  Reset  Model Detail  Nomenclature  New Cortec  Disclaimer  Input_Area  Input_Area  Input_Area1  Input_Area2  Nomenclature  Nomenclature  Nomenclature  Issue : 066 - As at 12/06/00 - 5A &amp;amp;quot;Special&amp;amp;quot; CT variant of KCGG14105 added to options.  : 10KCGG14101  KCGG34101H90E**  5 Amp - 4 Phase C.T's. &amp;lt;/p&amp;gt;</vt:lpwstr>
  </property>
</Properties>
</file>